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/comment3.xml" ContentType="application/vnd.openxmlformats-officedocument.spreadsheetml.comments+xml"/>
  <Override PartName="/xl/worksheets/sheet7.xml" ContentType="application/vnd.openxmlformats-officedocument.spreadsheetml.worksheet+xml"/>
  <Override PartName="/xl/comments/comment4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3040" windowHeight="9324" tabRatio="887" firstSheet="0" activeTab="0" autoFilterDateGrouping="1"/>
  </bookViews>
  <sheets>
    <sheet xmlns:r="http://schemas.openxmlformats.org/officeDocument/2006/relationships" name="ws-dpx" sheetId="1" state="visible" r:id="rId1"/>
    <sheet xmlns:r="http://schemas.openxmlformats.org/officeDocument/2006/relationships" name="ws self-TM（2021.9.10-2024.1.9）" sheetId="2" state="visible" r:id="rId2"/>
    <sheet xmlns:r="http://schemas.openxmlformats.org/officeDocument/2006/relationships" name="XM-自然月" sheetId="3" state="visible" r:id="rId3"/>
    <sheet xmlns:r="http://schemas.openxmlformats.org/officeDocument/2006/relationships" name="年假" sheetId="4" state="visible" r:id="rId4"/>
    <sheet xmlns:r="http://schemas.openxmlformats.org/officeDocument/2006/relationships" name="生日" sheetId="5" state="visible" r:id="rId5"/>
    <sheet xmlns:r="http://schemas.openxmlformats.org/officeDocument/2006/relationships" name="短期测试-已闭环结算和发薪" sheetId="6" state="visible" r:id="rId6"/>
    <sheet xmlns:r="http://schemas.openxmlformats.org/officeDocument/2006/relationships" name="26测试短期" sheetId="7" state="visible" r:id="rId7"/>
  </sheets>
  <definedNames>
    <definedName name="_xlnm._FilterDatabase" localSheetId="0" hidden="1">'ws-dpx'!$A$2:$CV$267</definedName>
    <definedName name="_xlnm._FilterDatabase" localSheetId="1" hidden="1">'ws self-TM（2021.9.10-2024.1.9）'!$A$3:$AH$41</definedName>
    <definedName name="_xlnm._FilterDatabase" localSheetId="3" hidden="1">'年假'!$A$1:$G$138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0.00_ "/>
    <numFmt numFmtId="165" formatCode="yyyy&quot;年&quot;m&quot;月&quot;d&quot;日&quot;;@"/>
    <numFmt numFmtId="166" formatCode="yyyy&quot;年&quot;m&quot;月&quot;;@"/>
    <numFmt numFmtId="167" formatCode="[$-F400]h:mm:ss\ AM/PM"/>
  </numFmts>
  <fonts count="157">
    <font>
      <name val="宋体"/>
      <charset val="134"/>
      <color theme="1"/>
      <sz val="11"/>
      <scheme val="minor"/>
    </font>
    <font>
      <name val="微软雅黑"/>
      <charset val="134"/>
      <sz val="12"/>
    </font>
    <font>
      <name val="宋体"/>
      <charset val="134"/>
      <color theme="4" tint="-0.5"/>
      <sz val="16"/>
      <scheme val="minor"/>
    </font>
    <font>
      <name val="宋体"/>
      <charset val="134"/>
      <color theme="1"/>
      <sz val="16"/>
      <scheme val="minor"/>
    </font>
    <font>
      <name val="微软雅黑"/>
      <charset val="134"/>
      <color rgb="FF000000"/>
      <sz val="8"/>
    </font>
    <font>
      <name val="微软雅黑"/>
      <charset val="134"/>
      <b val="1"/>
      <sz val="12"/>
    </font>
    <font>
      <name val="微软雅黑"/>
      <charset val="134"/>
      <color theme="1"/>
      <sz val="11"/>
    </font>
    <font>
      <name val="微软雅黑"/>
      <charset val="134"/>
      <b val="1"/>
      <sz val="18"/>
    </font>
    <font>
      <name val="微软雅黑"/>
      <charset val="134"/>
      <sz val="11"/>
    </font>
    <font>
      <name val="宋体"/>
      <charset val="134"/>
      <sz val="11"/>
      <scheme val="minor"/>
    </font>
    <font>
      <name val="宋体"/>
      <charset val="0"/>
      <color rgb="FF0000FF"/>
      <sz val="11"/>
      <u val="single"/>
      <scheme val="minor"/>
    </font>
    <font>
      <name val="等线"/>
      <charset val="134"/>
      <b val="1"/>
      <color theme="1"/>
      <sz val="14"/>
    </font>
    <font>
      <name val="等线"/>
      <charset val="134"/>
      <color theme="1"/>
      <sz val="12"/>
    </font>
    <font>
      <name val="宋体"/>
      <charset val="134"/>
      <sz val="12"/>
      <scheme val="minor"/>
    </font>
    <font>
      <name val="微软雅黑"/>
      <charset val="134"/>
      <b val="1"/>
      <sz val="14"/>
    </font>
    <font>
      <name val="微软雅黑"/>
      <charset val="134"/>
      <sz val="14"/>
    </font>
    <font>
      <name val="宋体"/>
      <charset val="134"/>
      <sz val="14"/>
      <scheme val="minor"/>
    </font>
    <font>
      <name val="等线"/>
      <charset val="134"/>
      <sz val="10"/>
    </font>
    <font>
      <name val="宋体"/>
      <charset val="134"/>
      <sz val="10.5"/>
    </font>
    <font>
      <name val="微软雅黑"/>
      <charset val="134"/>
      <b val="1"/>
      <sz val="9"/>
    </font>
    <font>
      <name val="微软雅黑"/>
      <charset val="134"/>
      <sz val="9"/>
    </font>
    <font>
      <name val="微软雅黑"/>
      <charset val="134"/>
      <sz val="9"/>
      <u val="single"/>
    </font>
    <font>
      <name val="宋体"/>
      <charset val="134"/>
      <color rgb="FFFF0000"/>
      <sz val="11"/>
      <scheme val="minor"/>
    </font>
    <font>
      <name val="微软雅黑"/>
      <charset val="134"/>
      <color rgb="FFFF0000"/>
      <sz val="9"/>
    </font>
    <font>
      <name val="宋体"/>
      <charset val="134"/>
      <color rgb="FF0000FF"/>
      <sz val="11"/>
      <u val="single"/>
      <scheme val="minor"/>
    </font>
    <font>
      <name val="微软雅黑"/>
      <charset val="134"/>
      <color theme="1"/>
      <sz val="10"/>
    </font>
    <font>
      <name val="微软雅黑"/>
      <charset val="134"/>
      <b val="1"/>
      <color theme="1"/>
      <sz val="10"/>
    </font>
    <font>
      <name val="微软雅黑"/>
      <charset val="134"/>
      <sz val="10"/>
    </font>
    <font>
      <name val="微软雅黑"/>
      <charset val="134"/>
      <sz val="20"/>
    </font>
    <font>
      <name val="微软雅黑"/>
      <charset val="134"/>
      <strike val="1"/>
      <sz val="20"/>
    </font>
    <font>
      <name val="微软雅黑"/>
      <charset val="134"/>
      <sz val="48"/>
    </font>
    <font>
      <name val="微软雅黑"/>
      <charset val="134"/>
      <color rgb="FFFF0000"/>
      <sz val="20"/>
    </font>
    <font>
      <name val="微软雅黑"/>
      <charset val="0"/>
      <sz val="20"/>
      <u val="single"/>
    </font>
    <font>
      <name val="微软雅黑"/>
      <charset val="0"/>
      <sz val="20"/>
    </font>
    <font>
      <name val="微软雅黑"/>
      <charset val="134"/>
      <strike val="1"/>
      <color rgb="FFFF0000"/>
      <sz val="20"/>
    </font>
    <font>
      <name val="微软雅黑"/>
      <charset val="0"/>
      <strike val="1"/>
      <sz val="20"/>
      <u val="single"/>
    </font>
    <font>
      <name val="微软雅黑"/>
      <charset val="0"/>
      <strike val="1"/>
      <sz val="20"/>
    </font>
    <font>
      <name val="微软雅黑"/>
      <charset val="134"/>
      <color theme="1"/>
      <sz val="12"/>
    </font>
    <font>
      <name val="微软雅黑"/>
      <charset val="134"/>
      <strike val="1"/>
      <color theme="5" tint="-0.25"/>
      <sz val="12"/>
    </font>
    <font>
      <name val="微软雅黑"/>
      <charset val="134"/>
      <strike val="1"/>
      <sz val="12"/>
    </font>
    <font>
      <name val="微软雅黑"/>
      <charset val="134"/>
      <strike val="1"/>
      <color theme="5"/>
      <sz val="12"/>
    </font>
    <font>
      <name val="微软雅黑"/>
      <charset val="134"/>
      <strike val="1"/>
      <color rgb="FFC00000"/>
      <sz val="12"/>
    </font>
    <font>
      <name val="微软雅黑"/>
      <charset val="134"/>
      <strike val="1"/>
      <color rgb="FFFF0000"/>
      <sz val="12"/>
    </font>
    <font>
      <name val="微软雅黑"/>
      <charset val="134"/>
      <color theme="1"/>
      <sz val="36"/>
    </font>
    <font>
      <name val="微软雅黑"/>
      <charset val="134"/>
      <sz val="36"/>
    </font>
    <font>
      <name val="微软雅黑"/>
      <charset val="134"/>
      <color theme="1"/>
      <sz val="48"/>
    </font>
    <font>
      <name val="微软雅黑"/>
      <charset val="134"/>
      <color rgb="FFFF0000"/>
      <sz val="12"/>
    </font>
    <font>
      <name val="微软雅黑"/>
      <charset val="0"/>
      <sz val="12"/>
      <u val="single"/>
    </font>
    <font>
      <name val="微软雅黑"/>
      <charset val="0"/>
      <strike val="1"/>
      <color theme="5" tint="-0.25"/>
      <sz val="12"/>
      <u val="single"/>
    </font>
    <font>
      <name val="微软雅黑"/>
      <charset val="134"/>
      <sz val="12"/>
      <u val="single"/>
    </font>
    <font>
      <name val="微软雅黑"/>
      <charset val="134"/>
      <strike val="1"/>
      <color theme="5" tint="-0.25"/>
      <sz val="12"/>
      <u val="single"/>
    </font>
    <font>
      <name val="微软雅黑"/>
      <charset val="134"/>
      <color theme="5" tint="-0.25"/>
      <sz val="12"/>
    </font>
    <font>
      <name val="微软雅黑"/>
      <charset val="134"/>
      <color theme="5" tint="-0.25"/>
      <sz val="14"/>
    </font>
    <font>
      <name val="宋体"/>
      <charset val="0"/>
      <sz val="11"/>
      <u val="single"/>
      <scheme val="minor"/>
    </font>
    <font>
      <name val="微软雅黑"/>
      <charset val="134"/>
      <sz val="22"/>
    </font>
    <font>
      <name val="宋体"/>
      <charset val="0"/>
      <strike val="1"/>
      <color rgb="FF0000FF"/>
      <sz val="11"/>
      <u val="single"/>
      <scheme val="minor"/>
    </font>
    <font>
      <name val="微软雅黑"/>
      <charset val="134"/>
      <strike val="1"/>
      <sz val="14"/>
    </font>
    <font>
      <name val="微软雅黑"/>
      <charset val="134"/>
      <strike val="1"/>
      <color theme="5" tint="-0.25"/>
      <sz val="14"/>
    </font>
    <font>
      <name val="微软雅黑"/>
      <charset val="134"/>
      <color rgb="FFC00000"/>
      <sz val="20"/>
    </font>
    <font>
      <name val="微软雅黑"/>
      <charset val="134"/>
      <color rgb="FFC00000"/>
      <sz val="12"/>
    </font>
    <font>
      <name val="微软雅黑"/>
      <charset val="134"/>
      <strike val="1"/>
      <color theme="5" tint="-0.25"/>
      <sz val="11"/>
    </font>
    <font>
      <name val="微软雅黑"/>
      <charset val="134"/>
      <strike val="1"/>
      <color rgb="FFFF0000"/>
      <sz val="11"/>
    </font>
    <font>
      <name val="微软雅黑"/>
      <charset val="134"/>
      <strike val="1"/>
      <color theme="1"/>
      <sz val="11"/>
    </font>
    <font>
      <name val="微软雅黑"/>
      <charset val="134"/>
      <color theme="5"/>
      <sz val="12"/>
    </font>
    <font>
      <name val="微软雅黑"/>
      <charset val="134"/>
      <strike val="1"/>
      <color theme="5"/>
      <sz val="11"/>
    </font>
    <font>
      <name val="微软雅黑"/>
      <charset val="134"/>
      <strike val="1"/>
      <color rgb="FFC00000"/>
      <sz val="11"/>
    </font>
    <font>
      <name val="宋体"/>
      <charset val="0"/>
      <strike val="1"/>
      <color rgb="FFC00000"/>
      <sz val="11"/>
      <u val="single"/>
      <scheme val="minor"/>
    </font>
    <font>
      <name val="微软雅黑"/>
      <charset val="134"/>
      <strike val="1"/>
      <color rgb="FFC00000"/>
      <sz val="8"/>
    </font>
    <font>
      <name val="微软雅黑"/>
      <charset val="134"/>
      <strike val="1"/>
      <color rgb="FFC00000"/>
      <sz val="14"/>
    </font>
    <font>
      <name val="微软雅黑"/>
      <charset val="134"/>
      <strike val="1"/>
      <sz val="11"/>
    </font>
    <font>
      <name val="微软雅黑"/>
      <charset val="134"/>
      <strike val="1"/>
      <color theme="5"/>
      <sz val="8"/>
    </font>
    <font>
      <name val="微软雅黑"/>
      <charset val="134"/>
      <color rgb="FF800080"/>
      <sz val="8"/>
      <u val="single"/>
    </font>
    <font>
      <name val="微软雅黑"/>
      <charset val="134"/>
      <color theme="1"/>
      <sz val="8"/>
    </font>
    <font>
      <name val="宋体"/>
      <charset val="0"/>
      <strike val="1"/>
      <color rgb="FFFF0000"/>
      <sz val="11"/>
      <u val="single"/>
      <scheme val="minor"/>
    </font>
    <font>
      <name val="微软雅黑"/>
      <charset val="134"/>
      <strike val="1"/>
      <color rgb="FFFF0000"/>
      <sz val="14"/>
    </font>
    <font>
      <name val="微软雅黑"/>
      <charset val="134"/>
      <color rgb="FF000000"/>
      <sz val="9"/>
    </font>
    <font>
      <name val="微软雅黑"/>
      <charset val="134"/>
      <color theme="1"/>
      <sz val="9"/>
    </font>
    <font>
      <name val="宋体"/>
      <charset val="134"/>
      <color theme="1"/>
      <sz val="10.5"/>
    </font>
    <font>
      <name val="Arial"/>
      <charset val="134"/>
      <strike val="1"/>
      <color rgb="FFFF0000"/>
      <sz val="10"/>
    </font>
    <font>
      <name val="Arial"/>
      <charset val="134"/>
      <color theme="1"/>
      <sz val="10"/>
    </font>
    <font>
      <name val="微软雅黑"/>
      <charset val="134"/>
      <sz val="26"/>
    </font>
    <font>
      <name val="Arial"/>
      <charset val="134"/>
      <strike val="1"/>
      <color rgb="FFC00000"/>
      <sz val="10"/>
    </font>
    <font>
      <name val="微软雅黑"/>
      <charset val="134"/>
      <strike val="1"/>
      <color rgb="FFC00000"/>
      <sz val="8"/>
      <u val="single"/>
    </font>
    <font>
      <name val="微软雅黑"/>
      <charset val="134"/>
      <strike val="1"/>
      <color rgb="FFC00000"/>
      <sz val="7.5"/>
    </font>
    <font>
      <name val="微软雅黑"/>
      <charset val="134"/>
      <strike val="1"/>
      <color rgb="FFFF0000"/>
      <sz val="8"/>
    </font>
    <font>
      <name val="微软雅黑"/>
      <charset val="134"/>
      <strike val="1"/>
      <color rgb="FFFF0000"/>
      <sz val="8"/>
      <u val="single"/>
    </font>
    <font>
      <name val="微软雅黑"/>
      <charset val="134"/>
      <strike val="1"/>
      <color rgb="FFFF0000"/>
      <sz val="7.5"/>
    </font>
    <font>
      <name val="微软雅黑"/>
      <charset val="134"/>
      <color rgb="FF000000"/>
      <sz val="7.5"/>
    </font>
    <font>
      <name val="PingFang SC"/>
      <charset val="134"/>
      <color theme="1"/>
      <sz val="10.5"/>
    </font>
    <font>
      <name val="PingFang SC"/>
      <charset val="134"/>
      <strike val="1"/>
      <color theme="1"/>
      <sz val="10.5"/>
    </font>
    <font>
      <name val="微软雅黑"/>
      <charset val="134"/>
      <strike val="1"/>
      <color rgb="FF000000"/>
      <sz val="8"/>
    </font>
    <font>
      <name val="微软雅黑"/>
      <charset val="134"/>
      <color rgb="FFC00000"/>
      <sz val="11"/>
    </font>
    <font>
      <name val="PingFang SC"/>
      <charset val="134"/>
      <strike val="1"/>
      <color rgb="FFC00000"/>
      <sz val="10.5"/>
    </font>
    <font>
      <name val="HYQiHeiKW"/>
      <charset val="134"/>
      <color rgb="FF000000"/>
      <sz val="8.050000000000001"/>
    </font>
    <font>
      <name val="宋体"/>
      <charset val="134"/>
      <strike val="1"/>
      <color rgb="FF000000"/>
      <sz val="8.050000000000001"/>
    </font>
    <font>
      <name val="微软雅黑"/>
      <charset val="134"/>
      <color rgb="FF000000"/>
      <sz val="11"/>
    </font>
    <font>
      <name val="微软雅黑"/>
      <charset val="0"/>
      <color rgb="FF0000FF"/>
      <sz val="12"/>
      <u val="single"/>
    </font>
    <font>
      <name val="微软雅黑"/>
      <charset val="134"/>
      <color rgb="FF000000"/>
      <sz val="12"/>
    </font>
    <font>
      <name val="微软雅黑"/>
      <charset val="0"/>
      <color rgb="FF800080"/>
      <sz val="12"/>
      <u val="single"/>
    </font>
    <font>
      <name val="宋体"/>
      <charset val="134"/>
      <color theme="1"/>
      <sz val="9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color indexed="8"/>
      <sz val="11"/>
    </font>
    <font>
      <name val="微软雅黑"/>
      <charset val="134"/>
      <color rgb="FFFF0000"/>
      <sz val="11"/>
    </font>
    <font>
      <name val="微软雅黑"/>
      <charset val="134"/>
      <b val="1"/>
      <color theme="4" tint="0.4"/>
      <sz val="14"/>
    </font>
    <font>
      <name val="微软雅黑"/>
      <charset val="134"/>
      <color rgb="FFFF0000"/>
      <sz val="16"/>
    </font>
    <font>
      <name val="Calibri"/>
      <charset val="134"/>
      <color theme="1"/>
      <sz val="10.5"/>
    </font>
    <font>
      <name val="Helvetica"/>
      <charset val="134"/>
      <sz val="10.5"/>
    </font>
    <font>
      <name val="等线"/>
      <charset val="134"/>
      <b val="1"/>
      <color rgb="FFFF0000"/>
      <sz val="14"/>
    </font>
    <font>
      <name val="宋体"/>
      <charset val="134"/>
      <color rgb="FFFF0000"/>
      <sz val="16"/>
      <scheme val="minor"/>
    </font>
    <font>
      <name val="等线"/>
      <charset val="134"/>
      <color rgb="FFFF0000"/>
      <sz val="12"/>
    </font>
    <font>
      <name val="宋体"/>
      <charset val="134"/>
      <sz val="12"/>
    </font>
    <font>
      <name val="微软雅黑"/>
      <charset val="134"/>
      <b val="1"/>
      <color rgb="FFFF0000"/>
      <sz val="12"/>
    </font>
    <font>
      <name val="宋体"/>
      <charset val="134"/>
      <strike val="1"/>
      <color theme="5" tint="-0.25"/>
      <sz val="12"/>
      <scheme val="minor"/>
    </font>
    <font>
      <name val="-apple-system"/>
      <charset val="134"/>
      <sz val="10.5"/>
    </font>
    <font>
      <name val="微软雅黑"/>
      <charset val="134"/>
      <color rgb="FF0070C0"/>
      <sz val="12"/>
    </font>
    <font>
      <name val="微软雅黑"/>
      <charset val="134"/>
      <color theme="7" tint="-0.25"/>
      <sz val="12"/>
    </font>
    <font>
      <name val="微软雅黑"/>
      <charset val="134"/>
      <color theme="4" tint="-0.25"/>
      <sz val="12"/>
    </font>
    <font>
      <name val="微软雅黑"/>
      <charset val="134"/>
      <color theme="8" tint="-0.25"/>
      <sz val="12"/>
    </font>
    <font>
      <name val="微软雅黑"/>
      <charset val="134"/>
      <color theme="9" tint="0.4"/>
      <sz val="12"/>
    </font>
    <font>
      <name val="微软雅黑"/>
      <charset val="134"/>
      <color theme="9" tint="-0.25"/>
      <sz val="12"/>
    </font>
    <font>
      <name val="微软雅黑"/>
      <charset val="134"/>
      <color theme="4" tint="0.4"/>
      <sz val="12"/>
    </font>
    <font>
      <name val="微软雅黑"/>
      <charset val="134"/>
      <strike val="1"/>
      <color theme="8" tint="-0.25"/>
      <sz val="12"/>
    </font>
    <font>
      <name val="宋体"/>
      <charset val="134"/>
      <strike val="1"/>
      <color rgb="FFC00000"/>
      <sz val="11"/>
    </font>
    <font>
      <name val="等线"/>
      <charset val="134"/>
      <color rgb="FFFF0000"/>
      <sz val="10"/>
    </font>
    <font>
      <name val="微软雅黑"/>
      <charset val="134"/>
      <color rgb="FF0070C0"/>
      <sz val="11"/>
    </font>
    <font>
      <name val="微软雅黑"/>
      <charset val="134"/>
      <strike val="1"/>
      <color theme="4" tint="-0.25"/>
      <sz val="11"/>
    </font>
    <font>
      <name val="微软雅黑"/>
      <charset val="134"/>
      <b val="1"/>
      <sz val="16"/>
    </font>
    <font>
      <name val="等线"/>
      <charset val="134"/>
      <color rgb="FF171A1D"/>
      <sz val="10"/>
    </font>
    <font>
      <name val="微软雅黑"/>
      <charset val="134"/>
      <color theme="1"/>
      <sz val="24"/>
    </font>
    <font>
      <name val="宋体"/>
      <charset val="134"/>
      <sz val="20"/>
    </font>
    <font>
      <name val="微软雅黑"/>
      <charset val="134"/>
      <color rgb="FFFF0000"/>
      <sz val="22"/>
    </font>
    <font>
      <name val="宋体"/>
      <charset val="134"/>
      <sz val="9"/>
    </font>
    <font>
      <name val="宋体"/>
      <charset val="134"/>
      <sz val="18"/>
    </font>
    <font>
      <name val="宋体"/>
      <charset val="134"/>
      <b val="1"/>
      <sz val="16"/>
    </font>
    <font>
      <name val="宋体"/>
      <charset val="134"/>
      <sz val="20"/>
    </font>
    <font>
      <name val="宋体"/>
      <charset val="134"/>
      <sz val="16"/>
    </font>
    <font>
      <name val="宋体"/>
      <charset val="134"/>
      <sz val="14"/>
    </font>
    <font>
      <name val="宋体"/>
      <charset val="134"/>
      <b val="1"/>
      <sz val="9"/>
    </font>
    <font>
      <name val="宋体"/>
      <charset val="134"/>
      <b val="1"/>
      <sz val="20"/>
    </font>
    <font>
      <name val="宋体"/>
      <charset val="134"/>
      <sz val="24"/>
    </font>
  </fonts>
  <fills count="49">
    <fill>
      <patternFill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0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10" fillId="0" borderId="0" applyAlignment="1">
      <alignment vertical="center"/>
    </xf>
    <xf numFmtId="0" fontId="100" fillId="0" borderId="0" applyAlignment="1">
      <alignment vertical="center"/>
    </xf>
    <xf numFmtId="0" fontId="0" fillId="19" borderId="13" applyAlignment="1">
      <alignment vertical="center"/>
    </xf>
    <xf numFmtId="0" fontId="101" fillId="0" borderId="0" applyAlignment="1">
      <alignment vertical="center"/>
    </xf>
    <xf numFmtId="0" fontId="102" fillId="0" borderId="0" applyAlignment="1">
      <alignment vertical="center"/>
    </xf>
    <xf numFmtId="0" fontId="103" fillId="0" borderId="0" applyAlignment="1">
      <alignment vertical="center"/>
    </xf>
    <xf numFmtId="0" fontId="104" fillId="0" borderId="14" applyAlignment="1">
      <alignment vertical="center"/>
    </xf>
    <xf numFmtId="0" fontId="105" fillId="0" borderId="14" applyAlignment="1">
      <alignment vertical="center"/>
    </xf>
    <xf numFmtId="0" fontId="106" fillId="0" borderId="15" applyAlignment="1">
      <alignment vertical="center"/>
    </xf>
    <xf numFmtId="0" fontId="106" fillId="0" borderId="0" applyAlignment="1">
      <alignment vertical="center"/>
    </xf>
    <xf numFmtId="0" fontId="107" fillId="20" borderId="16" applyAlignment="1">
      <alignment vertical="center"/>
    </xf>
    <xf numFmtId="0" fontId="108" fillId="21" borderId="17" applyAlignment="1">
      <alignment vertical="center"/>
    </xf>
    <xf numFmtId="0" fontId="109" fillId="21" borderId="16" applyAlignment="1">
      <alignment vertical="center"/>
    </xf>
    <xf numFmtId="0" fontId="110" fillId="22" borderId="18" applyAlignment="1">
      <alignment vertical="center"/>
    </xf>
    <xf numFmtId="0" fontId="111" fillId="0" borderId="19" applyAlignment="1">
      <alignment vertical="center"/>
    </xf>
    <xf numFmtId="0" fontId="112" fillId="0" borderId="20" applyAlignment="1">
      <alignment vertical="center"/>
    </xf>
    <xf numFmtId="0" fontId="113" fillId="23" borderId="0" applyAlignment="1">
      <alignment vertical="center"/>
    </xf>
    <xf numFmtId="0" fontId="114" fillId="24" borderId="0" applyAlignment="1">
      <alignment vertical="center"/>
    </xf>
    <xf numFmtId="0" fontId="115" fillId="25" borderId="0" applyAlignment="1">
      <alignment vertical="center"/>
    </xf>
    <xf numFmtId="0" fontId="116" fillId="26" borderId="0" applyAlignment="1">
      <alignment vertical="center"/>
    </xf>
    <xf numFmtId="0" fontId="117" fillId="27" borderId="0" applyAlignment="1">
      <alignment vertical="center"/>
    </xf>
    <xf numFmtId="0" fontId="117" fillId="28" borderId="0" applyAlignment="1">
      <alignment vertical="center"/>
    </xf>
    <xf numFmtId="0" fontId="116" fillId="29" borderId="0" applyAlignment="1">
      <alignment vertical="center"/>
    </xf>
    <xf numFmtId="0" fontId="116" fillId="30" borderId="0" applyAlignment="1">
      <alignment vertical="center"/>
    </xf>
    <xf numFmtId="0" fontId="117" fillId="31" borderId="0" applyAlignment="1">
      <alignment vertical="center"/>
    </xf>
    <xf numFmtId="0" fontId="117" fillId="32" borderId="0" applyAlignment="1">
      <alignment vertical="center"/>
    </xf>
    <xf numFmtId="0" fontId="116" fillId="33" borderId="0" applyAlignment="1">
      <alignment vertical="center"/>
    </xf>
    <xf numFmtId="0" fontId="116" fillId="34" borderId="0" applyAlignment="1">
      <alignment vertical="center"/>
    </xf>
    <xf numFmtId="0" fontId="117" fillId="35" borderId="0" applyAlignment="1">
      <alignment vertical="center"/>
    </xf>
    <xf numFmtId="0" fontId="117" fillId="36" borderId="0" applyAlignment="1">
      <alignment vertical="center"/>
    </xf>
    <xf numFmtId="0" fontId="116" fillId="37" borderId="0" applyAlignment="1">
      <alignment vertical="center"/>
    </xf>
    <xf numFmtId="0" fontId="116" fillId="38" borderId="0" applyAlignment="1">
      <alignment vertical="center"/>
    </xf>
    <xf numFmtId="0" fontId="117" fillId="39" borderId="0" applyAlignment="1">
      <alignment vertical="center"/>
    </xf>
    <xf numFmtId="0" fontId="117" fillId="40" borderId="0" applyAlignment="1">
      <alignment vertical="center"/>
    </xf>
    <xf numFmtId="0" fontId="116" fillId="12" borderId="0" applyAlignment="1">
      <alignment vertical="center"/>
    </xf>
    <xf numFmtId="0" fontId="116" fillId="41" borderId="0" applyAlignment="1">
      <alignment vertical="center"/>
    </xf>
    <xf numFmtId="0" fontId="117" fillId="42" borderId="0" applyAlignment="1">
      <alignment vertical="center"/>
    </xf>
    <xf numFmtId="0" fontId="117" fillId="43" borderId="0" applyAlignment="1">
      <alignment vertical="center"/>
    </xf>
    <xf numFmtId="0" fontId="116" fillId="44" borderId="0" applyAlignment="1">
      <alignment vertical="center"/>
    </xf>
    <xf numFmtId="0" fontId="116" fillId="45" borderId="0" applyAlignment="1">
      <alignment vertical="center"/>
    </xf>
    <xf numFmtId="0" fontId="117" fillId="46" borderId="0" applyAlignment="1">
      <alignment vertical="center"/>
    </xf>
    <xf numFmtId="0" fontId="117" fillId="47" borderId="0" applyAlignment="1">
      <alignment vertical="center"/>
    </xf>
    <xf numFmtId="0" fontId="116" fillId="48" borderId="0" applyAlignment="1">
      <alignment vertical="center"/>
    </xf>
    <xf numFmtId="167" fontId="118" fillId="0" borderId="0" applyAlignment="1">
      <alignment vertical="center"/>
    </xf>
  </cellStyleXfs>
  <cellXfs count="647">
    <xf numFmtId="0" fontId="0" fillId="0" borderId="0" applyAlignment="1" pivotButton="0" quotePrefix="0" xfId="0">
      <alignment vertical="center"/>
    </xf>
    <xf numFmtId="0" fontId="0" fillId="2" borderId="0" applyAlignment="1" pivotButton="0" quotePrefix="0" xfId="0">
      <alignment vertical="center"/>
    </xf>
    <xf numFmtId="0" fontId="1" fillId="3" borderId="1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top" wrapText="1"/>
    </xf>
    <xf numFmtId="0" fontId="3" fillId="2" borderId="0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left" vertical="center" wrapText="1"/>
    </xf>
    <xf numFmtId="0" fontId="1" fillId="4" borderId="1" applyAlignment="1" pivotButton="0" quotePrefix="0" xfId="0">
      <alignment horizontal="left" vertical="center" wrapText="1"/>
    </xf>
    <xf numFmtId="0" fontId="1" fillId="3" borderId="2" applyAlignment="1" pivotButton="0" quotePrefix="0" xfId="0">
      <alignment horizontal="left" vertical="center"/>
    </xf>
    <xf numFmtId="0" fontId="1" fillId="3" borderId="0" applyAlignment="1" pivotButton="0" quotePrefix="0" xfId="0">
      <alignment horizontal="left" vertical="center"/>
    </xf>
    <xf numFmtId="0" fontId="0" fillId="3" borderId="0" applyAlignment="1" pivotButton="0" quotePrefix="0" xfId="0">
      <alignment horizontal="left" vertical="center"/>
    </xf>
    <xf numFmtId="0" fontId="0" fillId="3" borderId="0" applyAlignment="1" pivotButton="0" quotePrefix="0" xfId="0">
      <alignment horizontal="left" vertical="center"/>
    </xf>
    <xf numFmtId="14" fontId="0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 wrapText="1"/>
    </xf>
    <xf numFmtId="0" fontId="5" fillId="5" borderId="1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3" fillId="6" borderId="0" applyAlignment="1" pivotButton="0" quotePrefix="0" xfId="0">
      <alignment horizontal="left" vertical="top" wrapText="1"/>
    </xf>
    <xf numFmtId="0" fontId="0" fillId="6" borderId="0" applyAlignment="1" pivotButton="0" quotePrefix="0" xfId="0">
      <alignment vertical="center"/>
    </xf>
    <xf numFmtId="0" fontId="5" fillId="6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/>
    </xf>
    <xf numFmtId="0" fontId="5" fillId="6" borderId="2" applyAlignment="1" pivotButton="0" quotePrefix="0" xfId="0">
      <alignment horizontal="left" vertical="center"/>
    </xf>
    <xf numFmtId="0" fontId="7" fillId="6" borderId="0" applyAlignment="1" pivotButton="0" quotePrefix="0" xfId="0">
      <alignment horizontal="left" vertical="center" wrapText="1"/>
    </xf>
    <xf numFmtId="0" fontId="5" fillId="5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 wrapText="1"/>
    </xf>
    <xf numFmtId="31" fontId="6" fillId="6" borderId="1" applyAlignment="1" pivotButton="0" quotePrefix="0" xfId="0">
      <alignment horizontal="left" vertical="center"/>
    </xf>
    <xf numFmtId="0" fontId="8" fillId="6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center"/>
    </xf>
    <xf numFmtId="0" fontId="3" fillId="7" borderId="0" applyAlignment="1" pivotButton="0" quotePrefix="0" xfId="0">
      <alignment vertical="top" wrapText="1"/>
    </xf>
    <xf numFmtId="0" fontId="3" fillId="7" borderId="0" applyAlignment="1" pivotButton="0" quotePrefix="0" xfId="0">
      <alignment horizontal="left" vertical="top" wrapText="1"/>
    </xf>
    <xf numFmtId="0" fontId="5" fillId="7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/>
    </xf>
    <xf numFmtId="0" fontId="5" fillId="7" borderId="2" applyAlignment="1" pivotButton="0" quotePrefix="0" xfId="0">
      <alignment horizontal="left" vertical="center"/>
    </xf>
    <xf numFmtId="0" fontId="7" fillId="7" borderId="0" applyAlignment="1" pivotButton="0" quotePrefix="0" xfId="0">
      <alignment horizontal="left" vertical="center" wrapText="1"/>
    </xf>
    <xf numFmtId="0" fontId="8" fillId="7" borderId="0" applyAlignment="1" pivotButton="0" quotePrefix="0" xfId="0">
      <alignment horizontal="center" vertical="center"/>
    </xf>
    <xf numFmtId="0" fontId="8" fillId="7" borderId="1" applyAlignment="1" pivotButton="0" quotePrefix="0" xfId="0">
      <alignment horizontal="left" vertical="center"/>
    </xf>
    <xf numFmtId="0" fontId="8" fillId="7" borderId="3" applyAlignment="1" pivotButton="0" quotePrefix="0" xfId="0">
      <alignment horizontal="left" vertical="center" wrapText="1"/>
    </xf>
    <xf numFmtId="0" fontId="8" fillId="7" borderId="3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 wrapText="1"/>
    </xf>
    <xf numFmtId="31" fontId="8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vertical="center"/>
    </xf>
    <xf numFmtId="0" fontId="6" fillId="7" borderId="1" applyAlignment="1" pivotButton="0" quotePrefix="0" xfId="0">
      <alignment horizontal="center" vertical="center"/>
    </xf>
    <xf numFmtId="0" fontId="8" fillId="7" borderId="0" applyAlignment="1" pivotButton="0" quotePrefix="0" xfId="0">
      <alignment horizontal="left" vertical="top" wrapText="1"/>
    </xf>
    <xf numFmtId="0" fontId="8" fillId="7" borderId="4" applyAlignment="1" pivotButton="0" quotePrefix="0" xfId="0">
      <alignment horizontal="left" vertical="center" wrapText="1"/>
    </xf>
    <xf numFmtId="0" fontId="8" fillId="7" borderId="4" applyAlignment="1" pivotButton="0" quotePrefix="0" xfId="0">
      <alignment horizontal="center" vertical="center"/>
    </xf>
    <xf numFmtId="0" fontId="8" fillId="7" borderId="1" applyAlignment="1" pivotButton="0" quotePrefix="0" xfId="0">
      <alignment vertical="center"/>
    </xf>
    <xf numFmtId="0" fontId="10" fillId="7" borderId="1" applyAlignment="1" pivotButton="0" quotePrefix="0" xfId="6">
      <alignment vertical="center"/>
    </xf>
    <xf numFmtId="0" fontId="8" fillId="7" borderId="5" applyAlignment="1" pivotButton="0" quotePrefix="0" xfId="0">
      <alignment horizontal="left" vertical="center" wrapText="1"/>
    </xf>
    <xf numFmtId="0" fontId="8" fillId="7" borderId="5" applyAlignment="1" pivotButton="0" quotePrefix="0" xfId="0">
      <alignment horizontal="center" vertical="center"/>
    </xf>
    <xf numFmtId="0" fontId="11" fillId="8" borderId="0" applyAlignment="1" pivotButton="0" quotePrefix="0" xfId="0">
      <alignment horizontal="left" vertical="top" wrapText="1"/>
    </xf>
    <xf numFmtId="0" fontId="12" fillId="8" borderId="0" applyAlignment="1" pivotButton="0" quotePrefix="0" xfId="0">
      <alignment vertical="top" wrapText="1"/>
    </xf>
    <xf numFmtId="0" fontId="5" fillId="8" borderId="1" applyAlignment="1" pivotButton="0" quotePrefix="0" xfId="0">
      <alignment horizontal="left" vertical="center"/>
    </xf>
    <xf numFmtId="0" fontId="5" fillId="8" borderId="1" applyAlignment="1" pivotButton="0" quotePrefix="0" xfId="0">
      <alignment horizontal="left" vertical="center" wrapText="1"/>
    </xf>
    <xf numFmtId="0" fontId="5" fillId="8" borderId="2" applyAlignment="1" pivotButton="0" quotePrefix="0" xfId="0">
      <alignment horizontal="left" vertical="center"/>
    </xf>
    <xf numFmtId="0" fontId="5" fillId="8" borderId="0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left" vertical="center"/>
    </xf>
    <xf numFmtId="0" fontId="8" fillId="8" borderId="6" applyAlignment="1" pivotButton="0" quotePrefix="0" xfId="0">
      <alignment horizontal="center" vertical="center"/>
    </xf>
    <xf numFmtId="0" fontId="8" fillId="8" borderId="7" applyAlignment="1" pivotButton="0" quotePrefix="0" xfId="0">
      <alignment horizontal="center" vertical="center" wrapText="1"/>
    </xf>
    <xf numFmtId="31" fontId="6" fillId="8" borderId="3" applyAlignment="1" pivotButton="0" quotePrefix="0" xfId="0">
      <alignment horizontal="center" vertical="center"/>
    </xf>
    <xf numFmtId="0" fontId="6" fillId="8" borderId="1" applyAlignment="1" pivotButton="0" quotePrefix="0" xfId="0">
      <alignment vertical="center"/>
    </xf>
    <xf numFmtId="0" fontId="6" fillId="8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left" vertical="center" wrapText="1"/>
    </xf>
    <xf numFmtId="0" fontId="8" fillId="8" borderId="0" applyAlignment="1" pivotButton="0" quotePrefix="0" xfId="0">
      <alignment horizontal="left" vertical="top" wrapText="1"/>
    </xf>
    <xf numFmtId="0" fontId="8" fillId="8" borderId="8" applyAlignment="1" pivotButton="0" quotePrefix="0" xfId="0">
      <alignment horizontal="center" vertical="center"/>
    </xf>
    <xf numFmtId="0" fontId="8" fillId="8" borderId="0" applyAlignment="1" pivotButton="0" quotePrefix="0" xfId="0">
      <alignment horizontal="center" vertical="center" wrapText="1"/>
    </xf>
    <xf numFmtId="31" fontId="6" fillId="8" borderId="4" applyAlignment="1" pivotButton="0" quotePrefix="0" xfId="0">
      <alignment horizontal="center" vertical="center"/>
    </xf>
    <xf numFmtId="0" fontId="10" fillId="8" borderId="1" applyAlignment="1" pivotButton="0" quotePrefix="0" xfId="6">
      <alignment vertical="center"/>
    </xf>
    <xf numFmtId="0" fontId="8" fillId="8" borderId="9" applyAlignment="1" pivotButton="0" quotePrefix="0" xfId="0">
      <alignment horizontal="center" vertical="center"/>
    </xf>
    <xf numFmtId="31" fontId="6" fillId="8" borderId="5" applyAlignment="1" pivotButton="0" quotePrefix="0" xfId="0">
      <alignment horizontal="center" vertical="center"/>
    </xf>
    <xf numFmtId="0" fontId="0" fillId="8" borderId="0" applyAlignment="1" pivotButton="0" quotePrefix="0" xfId="0">
      <alignment vertical="center"/>
    </xf>
    <xf numFmtId="31" fontId="0" fillId="8" borderId="0" applyAlignment="1" pivotButton="0" quotePrefix="0" xfId="0">
      <alignment vertical="center"/>
    </xf>
    <xf numFmtId="164" fontId="5" fillId="0" borderId="1" applyAlignment="1" pivotButton="0" quotePrefix="0" xfId="0">
      <alignment horizontal="left" vertical="center"/>
    </xf>
    <xf numFmtId="164" fontId="1" fillId="0" borderId="1" applyAlignment="1" pivotButton="0" quotePrefix="0" xfId="0">
      <alignment horizontal="left" vertical="center"/>
    </xf>
    <xf numFmtId="164" fontId="13" fillId="0" borderId="1" applyAlignment="1" pivotButton="0" quotePrefix="0" xfId="0">
      <alignment horizontal="left" vertical="center"/>
    </xf>
    <xf numFmtId="0" fontId="13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left" vertical="center"/>
    </xf>
    <xf numFmtId="165" fontId="1" fillId="0" borderId="1" applyAlignment="1" pivotButton="0" quotePrefix="0" xfId="0">
      <alignment horizontal="left" vertical="center"/>
    </xf>
    <xf numFmtId="0" fontId="14" fillId="2" borderId="1" applyAlignment="1" pivotButton="0" quotePrefix="0" xfId="0">
      <alignment horizontal="left" vertical="center"/>
    </xf>
    <xf numFmtId="164" fontId="14" fillId="2" borderId="1" applyAlignment="1" pivotButton="0" quotePrefix="0" xfId="0">
      <alignment horizontal="left" vertical="center"/>
    </xf>
    <xf numFmtId="164" fontId="14" fillId="2" borderId="1" applyAlignment="1" pivotButton="0" quotePrefix="0" xfId="0">
      <alignment horizontal="left" vertical="center" wrapText="1"/>
    </xf>
    <xf numFmtId="165" fontId="14" fillId="2" borderId="1" applyAlignment="1" pivotButton="0" quotePrefix="0" xfId="0">
      <alignment horizontal="left" vertical="center"/>
    </xf>
    <xf numFmtId="164" fontId="14" fillId="9" borderId="1" applyAlignment="1" pivotButton="0" quotePrefix="0" xfId="0">
      <alignment horizontal="left" vertical="center"/>
    </xf>
    <xf numFmtId="0" fontId="15" fillId="0" borderId="1" applyAlignment="1" pivotButton="0" quotePrefix="0" xfId="0">
      <alignment horizontal="left" vertical="center"/>
    </xf>
    <xf numFmtId="164" fontId="15" fillId="0" borderId="1" applyAlignment="1" pivotButton="0" quotePrefix="0" xfId="0">
      <alignment horizontal="left" vertical="center"/>
    </xf>
    <xf numFmtId="164" fontId="15" fillId="0" borderId="1" applyAlignment="1" pivotButton="0" quotePrefix="0" xfId="0">
      <alignment horizontal="left" vertical="center" wrapText="1"/>
    </xf>
    <xf numFmtId="165" fontId="15" fillId="0" borderId="1" applyAlignment="1" pivotButton="0" quotePrefix="0" xfId="0">
      <alignment horizontal="left" vertical="center"/>
    </xf>
    <xf numFmtId="164" fontId="16" fillId="0" borderId="1" applyAlignment="1" pivotButton="0" quotePrefix="0" xfId="0">
      <alignment horizontal="left" vertical="center"/>
    </xf>
    <xf numFmtId="0" fontId="16" fillId="0" borderId="1" applyAlignment="1" pivotButton="0" quotePrefix="0" xfId="0">
      <alignment horizontal="left" vertical="center"/>
    </xf>
    <xf numFmtId="0" fontId="15" fillId="0" borderId="1" applyAlignment="1" pivotButton="0" quotePrefix="0" xfId="0">
      <alignment horizontal="left" vertical="center"/>
    </xf>
    <xf numFmtId="0" fontId="16" fillId="0" borderId="0" applyAlignment="1" pivotButton="0" quotePrefix="0" xfId="0">
      <alignment horizontal="left" vertical="center"/>
    </xf>
    <xf numFmtId="164" fontId="1" fillId="0" borderId="1" applyAlignment="1" pivotButton="0" quotePrefix="0" xfId="0">
      <alignment horizontal="left" vertical="center" wrapText="1"/>
    </xf>
    <xf numFmtId="0" fontId="17" fillId="0" borderId="0" applyAlignment="1" pivotButton="0" quotePrefix="0" xfId="0">
      <alignment horizontal="left" vertical="center"/>
    </xf>
    <xf numFmtId="0" fontId="17" fillId="10" borderId="0" applyAlignment="1" pivotButton="0" quotePrefix="0" xfId="0">
      <alignment horizontal="left" vertical="center"/>
    </xf>
    <xf numFmtId="0" fontId="17" fillId="0" borderId="0" applyAlignment="1" pivotButton="0" quotePrefix="0" xfId="0">
      <alignment horizontal="left" vertical="center" wrapText="1"/>
    </xf>
    <xf numFmtId="0" fontId="18" fillId="0" borderId="0" applyAlignment="1" pivotButton="0" quotePrefix="0" xfId="0">
      <alignment vertical="center"/>
    </xf>
    <xf numFmtId="0" fontId="17" fillId="11" borderId="0" applyAlignment="1" pivotButton="0" quotePrefix="0" xfId="0">
      <alignment horizontal="left" vertical="center"/>
    </xf>
    <xf numFmtId="0" fontId="17" fillId="4" borderId="0" applyAlignment="1" pivotButton="0" quotePrefix="0" xfId="0">
      <alignment horizontal="left" vertical="center"/>
    </xf>
    <xf numFmtId="0" fontId="19" fillId="0" borderId="0" applyAlignment="1" pivotButton="0" quotePrefix="0" xfId="0">
      <alignment horizontal="center" vertical="center"/>
    </xf>
    <xf numFmtId="0" fontId="20" fillId="0" borderId="0" applyAlignment="1" pivotButton="0" quotePrefix="0" xfId="0">
      <alignment horizontal="center" vertical="center"/>
    </xf>
    <xf numFmtId="0" fontId="20" fillId="0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center" vertical="center"/>
    </xf>
    <xf numFmtId="0" fontId="21" fillId="0" borderId="1" applyAlignment="1" pivotButton="0" quotePrefix="0" xfId="6">
      <alignment horizontal="center" vertical="center"/>
    </xf>
    <xf numFmtId="31" fontId="20" fillId="0" borderId="1" applyAlignment="1" pivotButton="0" quotePrefix="0" xfId="0">
      <alignment horizontal="center" vertical="center"/>
    </xf>
    <xf numFmtId="0" fontId="22" fillId="0" borderId="1" applyAlignment="1" pivotButton="0" quotePrefix="0" xfId="0">
      <alignment horizontal="center" vertical="center"/>
    </xf>
    <xf numFmtId="31" fontId="20" fillId="12" borderId="1" applyAlignment="1" pivotButton="0" quotePrefix="0" xfId="0">
      <alignment horizontal="center" vertical="center"/>
    </xf>
    <xf numFmtId="31" fontId="23" fillId="12" borderId="1" applyAlignment="1" pivotButton="0" quotePrefix="0" xfId="0">
      <alignment horizontal="center" vertical="center"/>
    </xf>
    <xf numFmtId="0" fontId="20" fillId="0" borderId="0" applyAlignment="1" pivotButton="0" quotePrefix="0" xfId="0">
      <alignment horizontal="center" vertical="center"/>
    </xf>
    <xf numFmtId="0" fontId="20" fillId="0" borderId="10" applyAlignment="1" pivotButton="0" quotePrefix="0" xfId="0">
      <alignment horizontal="center" vertical="center"/>
    </xf>
    <xf numFmtId="0" fontId="20" fillId="0" borderId="1" applyAlignment="1" pivotButton="0" quotePrefix="0" xfId="0">
      <alignment horizontal="center" vertical="center" wrapText="1"/>
    </xf>
    <xf numFmtId="0" fontId="24" fillId="0" borderId="1" applyAlignment="1" pivotButton="0" quotePrefix="0" xfId="6">
      <alignment horizontal="center" vertical="center" wrapText="1"/>
    </xf>
    <xf numFmtId="0" fontId="20" fillId="12" borderId="1" applyAlignment="1" pivotButton="0" quotePrefix="0" xfId="0">
      <alignment horizontal="center" vertical="center"/>
    </xf>
    <xf numFmtId="0" fontId="24" fillId="0" borderId="1" applyAlignment="1" pivotButton="0" quotePrefix="0" xfId="6">
      <alignment horizontal="center" vertical="center"/>
    </xf>
    <xf numFmtId="0" fontId="25" fillId="9" borderId="0" applyAlignment="1" pivotButton="0" quotePrefix="0" xfId="0">
      <alignment horizontal="center" vertical="center"/>
    </xf>
    <xf numFmtId="0" fontId="26" fillId="13" borderId="1" applyAlignment="1" pivotButton="0" quotePrefix="0" xfId="0">
      <alignment horizontal="left" vertical="center" wrapText="1"/>
    </xf>
    <xf numFmtId="0" fontId="26" fillId="13" borderId="8" applyAlignment="1" pivotButton="0" quotePrefix="0" xfId="0">
      <alignment horizontal="center" vertical="center" wrapText="1"/>
    </xf>
    <xf numFmtId="0" fontId="26" fillId="13" borderId="0" applyAlignment="1" pivotButton="0" quotePrefix="0" xfId="0">
      <alignment horizontal="center" vertical="center" wrapText="1"/>
    </xf>
    <xf numFmtId="0" fontId="26" fillId="13" borderId="11" applyAlignment="1" pivotButton="0" quotePrefix="0" xfId="0">
      <alignment horizontal="left" vertical="center" wrapText="1"/>
    </xf>
    <xf numFmtId="0" fontId="27" fillId="0" borderId="1" applyAlignment="1" pivotButton="0" quotePrefix="0" xfId="0">
      <alignment horizontal="left" vertical="center" wrapText="1"/>
    </xf>
    <xf numFmtId="0" fontId="27" fillId="0" borderId="8" applyAlignment="1" pivotButton="0" quotePrefix="0" xfId="0">
      <alignment horizontal="center" vertical="center" wrapText="1"/>
    </xf>
    <xf numFmtId="0" fontId="27" fillId="0" borderId="0" applyAlignment="1" pivotButton="0" quotePrefix="0" xfId="0">
      <alignment horizontal="center" vertical="center" wrapText="1"/>
    </xf>
    <xf numFmtId="0" fontId="27" fillId="0" borderId="11" applyAlignment="1" pivotButton="0" quotePrefix="0" xfId="0">
      <alignment horizontal="left" vertical="center" wrapText="1"/>
    </xf>
    <xf numFmtId="0" fontId="25" fillId="0" borderId="1" applyAlignment="1" pivotButton="0" quotePrefix="0" xfId="0">
      <alignment horizontal="left" vertical="center" wrapText="1"/>
    </xf>
    <xf numFmtId="0" fontId="25" fillId="0" borderId="8" applyAlignment="1" pivotButton="0" quotePrefix="0" xfId="0">
      <alignment horizontal="center" vertical="center" wrapText="1"/>
    </xf>
    <xf numFmtId="0" fontId="25" fillId="0" borderId="0" applyAlignment="1" pivotButton="0" quotePrefix="0" xfId="0">
      <alignment horizontal="center" vertical="center" wrapText="1"/>
    </xf>
    <xf numFmtId="0" fontId="25" fillId="0" borderId="1" applyAlignment="1" pivotButton="0" quotePrefix="0" xfId="0">
      <alignment horizontal="left" vertical="center"/>
    </xf>
    <xf numFmtId="0" fontId="25" fillId="0" borderId="11" applyAlignment="1" pivotButton="0" quotePrefix="0" xfId="0">
      <alignment horizontal="left" vertical="center" wrapText="1"/>
    </xf>
    <xf numFmtId="0" fontId="28" fillId="0" borderId="1" applyAlignment="1" pivotButton="0" quotePrefix="0" xfId="0">
      <alignment horizontal="center" vertical="center"/>
    </xf>
    <xf numFmtId="0" fontId="29" fillId="0" borderId="1" applyAlignment="1" pivotButton="0" quotePrefix="0" xfId="0">
      <alignment horizontal="center" vertical="center"/>
    </xf>
    <xf numFmtId="0" fontId="28" fillId="0" borderId="1" pivotButton="0" quotePrefix="0" xfId="0"/>
    <xf numFmtId="0" fontId="28" fillId="0" borderId="1" applyAlignment="1" pivotButton="0" quotePrefix="0" xfId="0">
      <alignment horizontal="center" vertical="center"/>
    </xf>
    <xf numFmtId="0" fontId="28" fillId="0" borderId="1" applyAlignment="1" pivotButton="0" quotePrefix="0" xfId="0">
      <alignment horizontal="left" vertical="center"/>
    </xf>
    <xf numFmtId="0" fontId="30" fillId="0" borderId="1" applyAlignment="1" pivotButton="0" quotePrefix="0" xfId="0">
      <alignment horizontal="center" vertical="center"/>
    </xf>
    <xf numFmtId="0" fontId="29" fillId="0" borderId="1" applyAlignment="1" pivotButton="0" quotePrefix="0" xfId="0">
      <alignment horizontal="left" vertical="center"/>
    </xf>
    <xf numFmtId="14" fontId="28" fillId="0" borderId="1" applyAlignment="1" pivotButton="0" quotePrefix="0" xfId="0">
      <alignment horizontal="center" vertical="center"/>
    </xf>
    <xf numFmtId="14" fontId="29" fillId="0" borderId="1" applyAlignment="1" pivotButton="0" quotePrefix="0" xfId="0">
      <alignment horizontal="center" vertical="center"/>
    </xf>
    <xf numFmtId="31" fontId="29" fillId="0" borderId="1" applyAlignment="1" pivotButton="0" quotePrefix="0" xfId="0">
      <alignment horizontal="center" vertical="center"/>
    </xf>
    <xf numFmtId="0" fontId="29" fillId="0" borderId="1" applyAlignment="1" pivotButton="0" quotePrefix="0" xfId="0">
      <alignment horizontal="center" vertical="center" wrapText="1"/>
    </xf>
    <xf numFmtId="0" fontId="28" fillId="0" borderId="1" applyAlignment="1" pivotButton="0" quotePrefix="0" xfId="0">
      <alignment horizontal="center" vertical="center" wrapText="1"/>
    </xf>
    <xf numFmtId="31" fontId="28" fillId="0" borderId="1" applyAlignment="1" pivotButton="0" quotePrefix="0" xfId="0">
      <alignment horizontal="left"/>
    </xf>
    <xf numFmtId="0" fontId="28" fillId="0" borderId="0" applyAlignment="1" pivotButton="0" quotePrefix="0" xfId="0">
      <alignment horizontal="center" vertical="center"/>
    </xf>
    <xf numFmtId="0" fontId="10" fillId="0" borderId="1" applyAlignment="1" pivotButton="0" quotePrefix="0" xfId="6">
      <alignment horizontal="center" vertical="center"/>
    </xf>
    <xf numFmtId="14" fontId="31" fillId="0" borderId="1" applyAlignment="1" pivotButton="0" quotePrefix="0" xfId="0">
      <alignment horizontal="center" vertical="center"/>
    </xf>
    <xf numFmtId="0" fontId="32" fillId="0" borderId="1" applyAlignment="1" pivotButton="0" quotePrefix="0" xfId="6">
      <alignment horizontal="center" vertical="center"/>
    </xf>
    <xf numFmtId="0" fontId="33" fillId="0" borderId="1" applyAlignment="1" pivotButton="0" quotePrefix="0" xfId="6">
      <alignment horizontal="center" vertical="center"/>
    </xf>
    <xf numFmtId="14" fontId="34" fillId="0" borderId="1" applyAlignment="1" pivotButton="0" quotePrefix="0" xfId="0">
      <alignment horizontal="center" vertical="center"/>
    </xf>
    <xf numFmtId="0" fontId="35" fillId="0" borderId="1" applyAlignment="1" pivotButton="0" quotePrefix="0" xfId="6">
      <alignment horizontal="center" vertical="center"/>
    </xf>
    <xf numFmtId="0" fontId="36" fillId="0" borderId="1" applyAlignment="1" pivotButton="0" quotePrefix="0" xfId="6">
      <alignment horizontal="center" vertical="center"/>
    </xf>
    <xf numFmtId="58" fontId="28" fillId="0" borderId="1" applyAlignment="1" pivotButton="0" quotePrefix="0" xfId="0">
      <alignment horizontal="center" vertical="center"/>
    </xf>
    <xf numFmtId="57" fontId="28" fillId="0" borderId="1" applyAlignment="1" pivotButton="0" quotePrefix="0" xfId="0">
      <alignment horizontal="center" vertical="center"/>
    </xf>
    <xf numFmtId="31" fontId="28" fillId="0" borderId="1" applyAlignment="1" pivotButton="0" quotePrefix="0" xfId="0">
      <alignment horizontal="center" vertical="center"/>
    </xf>
    <xf numFmtId="17" fontId="28" fillId="0" borderId="1" applyAlignment="1" pivotButton="0" quotePrefix="0" xfId="0">
      <alignment horizontal="center" vertical="center"/>
    </xf>
    <xf numFmtId="0" fontId="28" fillId="0" borderId="1" applyAlignment="1" pivotButton="0" quotePrefix="0" xfId="0">
      <alignment horizontal="left"/>
    </xf>
    <xf numFmtId="0" fontId="32" fillId="0" borderId="1" applyAlignment="1" pivotButton="0" quotePrefix="0" xfId="6">
      <alignment horizontal="center" vertical="center"/>
    </xf>
    <xf numFmtId="0" fontId="28" fillId="0" borderId="1" applyAlignment="1" pivotButton="0" quotePrefix="0" xfId="0">
      <alignment horizontal="left" vertical="center"/>
    </xf>
    <xf numFmtId="0" fontId="28" fillId="0" borderId="1" applyAlignment="1" pivotButton="0" quotePrefix="0" xfId="0">
      <alignment horizontal="center" vertical="center" wrapText="1"/>
    </xf>
    <xf numFmtId="0" fontId="28" fillId="0" borderId="1" applyAlignment="1" pivotButton="0" quotePrefix="0" xfId="0">
      <alignment wrapText="1"/>
    </xf>
    <xf numFmtId="0" fontId="28" fillId="0" borderId="1" applyAlignment="1" pivotButton="0" quotePrefix="0" xfId="0">
      <alignment horizontal="center"/>
    </xf>
    <xf numFmtId="14" fontId="32" fillId="0" borderId="1" applyAlignment="1" pivotButton="0" quotePrefix="0" xfId="6">
      <alignment horizontal="center" vertical="center"/>
    </xf>
    <xf numFmtId="164" fontId="28" fillId="0" borderId="1" applyAlignment="1" pivotButton="0" quotePrefix="0" xfId="0">
      <alignment horizontal="center" vertical="center"/>
    </xf>
    <xf numFmtId="164" fontId="37" fillId="0" borderId="1" applyAlignment="1" pivotButton="0" quotePrefix="0" xfId="0">
      <alignment horizontal="left" vertical="center"/>
    </xf>
    <xf numFmtId="164" fontId="37" fillId="0" borderId="1" applyAlignment="1" pivotButton="0" quotePrefix="0" xfId="0">
      <alignment horizontal="left" vertical="center"/>
    </xf>
    <xf numFmtId="164" fontId="38" fillId="0" borderId="1" applyAlignment="1" pivotButton="0" quotePrefix="0" xfId="0">
      <alignment horizontal="left" vertical="center"/>
    </xf>
    <xf numFmtId="0" fontId="38" fillId="0" borderId="1" applyAlignment="1" pivotButton="0" quotePrefix="0" xfId="0">
      <alignment horizontal="left" vertical="center"/>
    </xf>
    <xf numFmtId="0" fontId="38" fillId="0" borderId="1" applyAlignment="1" pivotButton="0" quotePrefix="0" xfId="0">
      <alignment horizontal="left" vertical="center" wrapText="1"/>
    </xf>
    <xf numFmtId="164" fontId="39" fillId="0" borderId="1" applyAlignment="1" pivotButton="0" quotePrefix="0" xfId="0">
      <alignment horizontal="left" vertical="center"/>
    </xf>
    <xf numFmtId="164" fontId="1" fillId="14" borderId="1" applyAlignment="1" pivotButton="0" quotePrefix="0" xfId="0">
      <alignment horizontal="left" vertical="center"/>
    </xf>
    <xf numFmtId="164" fontId="1" fillId="15" borderId="1" applyAlignment="1" pivotButton="0" quotePrefix="0" xfId="0">
      <alignment horizontal="left" vertical="center"/>
    </xf>
    <xf numFmtId="164" fontId="39" fillId="15" borderId="1" applyAlignment="1" pivotButton="0" quotePrefix="0" xfId="0">
      <alignment horizontal="left" vertical="center"/>
    </xf>
    <xf numFmtId="164" fontId="40" fillId="0" borderId="1" applyAlignment="1" pivotButton="0" quotePrefix="0" xfId="0">
      <alignment horizontal="left" vertical="center"/>
    </xf>
    <xf numFmtId="164" fontId="41" fillId="0" borderId="1" applyAlignment="1" pivotButton="0" quotePrefix="0" xfId="0">
      <alignment horizontal="left" vertical="center"/>
    </xf>
    <xf numFmtId="164" fontId="42" fillId="8" borderId="1" applyAlignment="1" pivotButton="0" quotePrefix="0" xfId="0">
      <alignment horizontal="left" vertical="center"/>
    </xf>
    <xf numFmtId="164" fontId="42" fillId="0" borderId="1" applyAlignment="1" pivotButton="0" quotePrefix="0" xfId="0">
      <alignment horizontal="left" vertical="center"/>
    </xf>
    <xf numFmtId="164" fontId="1" fillId="8" borderId="1" applyAlignment="1" pivotButton="0" quotePrefix="0" xfId="0">
      <alignment horizontal="left" vertical="center"/>
    </xf>
    <xf numFmtId="166" fontId="1" fillId="0" borderId="1" applyAlignment="1" pivotButton="0" quotePrefix="0" xfId="0">
      <alignment horizontal="left" vertical="center"/>
    </xf>
    <xf numFmtId="0" fontId="43" fillId="16" borderId="2" applyAlignment="1" pivotButton="0" quotePrefix="0" xfId="0">
      <alignment horizontal="left" vertical="center" wrapText="1"/>
    </xf>
    <xf numFmtId="0" fontId="43" fillId="16" borderId="12" applyAlignment="1" pivotButton="0" quotePrefix="0" xfId="0">
      <alignment horizontal="left" vertical="center" wrapText="1"/>
    </xf>
    <xf numFmtId="0" fontId="44" fillId="16" borderId="12" applyAlignment="1" pivotButton="0" quotePrefix="0" xfId="0">
      <alignment horizontal="left" vertical="center" wrapText="1"/>
    </xf>
    <xf numFmtId="0" fontId="43" fillId="16" borderId="10" applyAlignment="1" pivotButton="0" quotePrefix="0" xfId="0">
      <alignment horizontal="left" vertical="center" wrapText="1"/>
    </xf>
    <xf numFmtId="0" fontId="45" fillId="16" borderId="1" applyAlignment="1" pivotButton="0" quotePrefix="0" xfId="0">
      <alignment horizontal="left" vertical="center"/>
    </xf>
    <xf numFmtId="0" fontId="37" fillId="0" borderId="1" applyAlignment="1" pivotButton="0" quotePrefix="0" xfId="0">
      <alignment horizontal="left" vertical="center"/>
    </xf>
    <xf numFmtId="164" fontId="1" fillId="4" borderId="1" applyAlignment="1" pivotButton="0" quotePrefix="0" xfId="0">
      <alignment horizontal="left" vertical="center"/>
    </xf>
    <xf numFmtId="164" fontId="1" fillId="3" borderId="1" applyAlignment="1" pivotButton="0" quotePrefix="0" xfId="0">
      <alignment horizontal="left" vertical="center" wrapText="1"/>
    </xf>
    <xf numFmtId="165" fontId="1" fillId="4" borderId="1" applyAlignment="1" pivotButton="0" quotePrefix="0" xfId="0">
      <alignment horizontal="left" vertical="center"/>
    </xf>
    <xf numFmtId="164" fontId="37" fillId="0" borderId="1" applyAlignment="1" pivotButton="0" quotePrefix="0" xfId="0">
      <alignment horizontal="left" vertical="center" wrapText="1"/>
    </xf>
    <xf numFmtId="164" fontId="37" fillId="5" borderId="1" applyAlignment="1" pivotButton="0" quotePrefix="0" xfId="0">
      <alignment horizontal="left" vertical="center" wrapText="1"/>
    </xf>
    <xf numFmtId="164" fontId="37" fillId="14" borderId="1" applyAlignment="1" pivotButton="0" quotePrefix="0" xfId="0">
      <alignment horizontal="left" vertical="center" wrapText="1"/>
    </xf>
    <xf numFmtId="0" fontId="46" fillId="14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left" vertical="center" wrapText="1"/>
    </xf>
    <xf numFmtId="164" fontId="47" fillId="0" borderId="1" applyAlignment="1" pivotButton="0" quotePrefix="0" xfId="6">
      <alignment horizontal="left" vertical="center"/>
    </xf>
    <xf numFmtId="165" fontId="1" fillId="0" borderId="1" applyAlignment="1" pivotButton="0" quotePrefix="0" xfId="0">
      <alignment horizontal="left" vertical="center" wrapText="1"/>
    </xf>
    <xf numFmtId="0" fontId="38" fillId="0" borderId="1" applyAlignment="1" pivotButton="0" quotePrefix="0" xfId="0">
      <alignment horizontal="left" vertical="center"/>
    </xf>
    <xf numFmtId="164" fontId="38" fillId="0" borderId="1" applyAlignment="1" pivotButton="0" quotePrefix="0" xfId="0">
      <alignment horizontal="left" vertical="center" wrapText="1"/>
    </xf>
    <xf numFmtId="165" fontId="38" fillId="0" borderId="1" applyAlignment="1" pivotButton="0" quotePrefix="0" xfId="0">
      <alignment horizontal="left" vertical="center"/>
    </xf>
    <xf numFmtId="165" fontId="38" fillId="0" borderId="1" applyAlignment="1" pivotButton="0" quotePrefix="0" xfId="0">
      <alignment horizontal="left" vertical="center" wrapText="1"/>
    </xf>
    <xf numFmtId="166" fontId="38" fillId="0" borderId="1" applyAlignment="1" pivotButton="0" quotePrefix="0" xfId="0">
      <alignment horizontal="left" vertical="center"/>
    </xf>
    <xf numFmtId="164" fontId="10" fillId="0" borderId="1" applyAlignment="1" pivotButton="0" quotePrefix="0" xfId="6">
      <alignment horizontal="left" vertical="center"/>
    </xf>
    <xf numFmtId="164" fontId="48" fillId="0" borderId="1" applyAlignment="1" pivotButton="0" quotePrefix="0" xfId="6">
      <alignment horizontal="left" vertical="center"/>
    </xf>
    <xf numFmtId="164" fontId="1" fillId="7" borderId="1" applyAlignment="1" pivotButton="0" quotePrefix="0" xfId="0">
      <alignment horizontal="left" vertical="center"/>
    </xf>
    <xf numFmtId="164" fontId="38" fillId="0" borderId="1" applyAlignment="1" pivotButton="0" quotePrefix="0" xfId="49">
      <alignment horizontal="left" vertical="center" wrapText="1"/>
    </xf>
    <xf numFmtId="0" fontId="38" fillId="0" borderId="1" applyAlignment="1" pivotButton="0" quotePrefix="0" xfId="0">
      <alignment horizontal="left" vertical="center" wrapText="1"/>
    </xf>
    <xf numFmtId="166" fontId="38" fillId="0" borderId="1" applyAlignment="1" pivotButton="0" quotePrefix="0" xfId="0">
      <alignment horizontal="left" vertical="center" wrapText="1"/>
    </xf>
    <xf numFmtId="164" fontId="39" fillId="0" borderId="1" applyAlignment="1" pivotButton="0" quotePrefix="0" xfId="0">
      <alignment horizontal="left" vertical="center" wrapText="1"/>
    </xf>
    <xf numFmtId="164" fontId="49" fillId="0" borderId="1" applyAlignment="1" pivotButton="0" quotePrefix="0" xfId="6">
      <alignment horizontal="left" vertical="center"/>
    </xf>
    <xf numFmtId="164" fontId="50" fillId="0" borderId="1" applyAlignment="1" pivotButton="0" quotePrefix="0" xfId="6">
      <alignment horizontal="left" vertical="center"/>
    </xf>
    <xf numFmtId="164" fontId="46" fillId="0" borderId="1" applyAlignment="1" pivotButton="0" quotePrefix="0" xfId="0">
      <alignment horizontal="left" vertical="center" wrapText="1"/>
    </xf>
    <xf numFmtId="164" fontId="51" fillId="0" borderId="1" applyAlignment="1" pivotButton="0" quotePrefix="0" xfId="0">
      <alignment horizontal="left" vertical="center"/>
    </xf>
    <xf numFmtId="165" fontId="52" fillId="0" borderId="1" applyAlignment="1" pivotButton="0" quotePrefix="0" xfId="0">
      <alignment horizontal="left" vertical="center"/>
    </xf>
    <xf numFmtId="0" fontId="52" fillId="0" borderId="1" applyAlignment="1" pivotButton="0" quotePrefix="0" xfId="0">
      <alignment horizontal="left" vertical="center"/>
    </xf>
    <xf numFmtId="164" fontId="53" fillId="0" borderId="1" applyAlignment="1" pivotButton="0" quotePrefix="0" xfId="6">
      <alignment horizontal="left" vertical="center"/>
    </xf>
    <xf numFmtId="164" fontId="1" fillId="0" borderId="1" applyAlignment="1" pivotButton="0" quotePrefix="0" xfId="49">
      <alignment horizontal="left" vertical="center"/>
    </xf>
    <xf numFmtId="49" fontId="1" fillId="0" borderId="1" applyAlignment="1" pivotButton="0" quotePrefix="0" xfId="0">
      <alignment horizontal="left" vertical="center" wrapText="1"/>
    </xf>
    <xf numFmtId="0" fontId="1" fillId="0" borderId="1" applyAlignment="1" pivotButton="0" quotePrefix="0" xfId="0">
      <alignment horizontal="left" vertical="center" wrapText="1"/>
    </xf>
    <xf numFmtId="0" fontId="47" fillId="0" borderId="1" applyAlignment="1" pivotButton="0" quotePrefix="0" xfId="6">
      <alignment horizontal="left" vertical="center"/>
    </xf>
    <xf numFmtId="0" fontId="1" fillId="7" borderId="1" applyAlignment="1" pivotButton="0" quotePrefix="0" xfId="0">
      <alignment horizontal="left" vertical="center"/>
    </xf>
    <xf numFmtId="0" fontId="39" fillId="0" borderId="1" applyAlignment="1" pivotButton="0" quotePrefix="0" xfId="0">
      <alignment horizontal="left" vertical="center"/>
    </xf>
    <xf numFmtId="0" fontId="48" fillId="0" borderId="1" applyAlignment="1" pivotButton="0" quotePrefix="0" xfId="6">
      <alignment horizontal="left" vertical="center"/>
    </xf>
    <xf numFmtId="0" fontId="49" fillId="0" borderId="1" applyAlignment="1" pivotButton="0" quotePrefix="0" xfId="6">
      <alignment horizontal="left" vertical="center"/>
    </xf>
    <xf numFmtId="0" fontId="50" fillId="0" borderId="1" applyAlignment="1" pivotButton="0" quotePrefix="0" xfId="6">
      <alignment horizontal="left" vertical="center"/>
    </xf>
    <xf numFmtId="165" fontId="54" fillId="0" borderId="1" applyAlignment="1" pivotButton="0" quotePrefix="0" xfId="0">
      <alignment horizontal="left" vertical="center" wrapText="1"/>
    </xf>
    <xf numFmtId="57" fontId="1" fillId="0" borderId="1" applyAlignment="1" pivotButton="0" quotePrefix="0" xfId="0">
      <alignment horizontal="left" vertical="center" wrapText="1"/>
    </xf>
    <xf numFmtId="0" fontId="46" fillId="0" borderId="1" applyAlignment="1" pivotButton="0" quotePrefix="0" xfId="0">
      <alignment horizontal="left" vertical="center" wrapText="1"/>
    </xf>
    <xf numFmtId="0" fontId="39" fillId="0" borderId="1" applyAlignment="1" pivotButton="0" quotePrefix="0" xfId="0">
      <alignment horizontal="left" vertical="center" wrapText="1"/>
    </xf>
    <xf numFmtId="0" fontId="1" fillId="17" borderId="1" applyAlignment="1" pivotButton="0" quotePrefix="0" xfId="0">
      <alignment horizontal="left" vertical="center"/>
    </xf>
    <xf numFmtId="0" fontId="39" fillId="0" borderId="1" applyAlignment="1" pivotButton="0" quotePrefix="0" xfId="0">
      <alignment horizontal="left" vertical="center"/>
    </xf>
    <xf numFmtId="165" fontId="39" fillId="0" borderId="1" applyAlignment="1" pivotButton="0" quotePrefix="0" xfId="0">
      <alignment horizontal="left" vertical="center"/>
    </xf>
    <xf numFmtId="165" fontId="42" fillId="0" borderId="1" applyAlignment="1" pivotButton="0" quotePrefix="0" xfId="0">
      <alignment horizontal="left" vertical="center" wrapText="1"/>
    </xf>
    <xf numFmtId="166" fontId="39" fillId="0" borderId="1" applyAlignment="1" pivotButton="0" quotePrefix="0" xfId="0">
      <alignment horizontal="left" vertical="center"/>
    </xf>
    <xf numFmtId="164" fontId="55" fillId="0" borderId="1" applyAlignment="1" pivotButton="0" quotePrefix="0" xfId="6">
      <alignment horizontal="left" vertical="center"/>
    </xf>
    <xf numFmtId="165" fontId="39" fillId="0" borderId="1" applyAlignment="1" pivotButton="0" quotePrefix="0" xfId="0">
      <alignment horizontal="left" vertical="center" wrapText="1"/>
    </xf>
    <xf numFmtId="165" fontId="56" fillId="0" borderId="1" applyAlignment="1" pivotButton="0" quotePrefix="0" xfId="0">
      <alignment horizontal="left" vertical="center"/>
    </xf>
    <xf numFmtId="0" fontId="56" fillId="0" borderId="1" applyAlignment="1" pivotButton="0" quotePrefix="0" xfId="0">
      <alignment horizontal="left" vertical="center"/>
    </xf>
    <xf numFmtId="0" fontId="10" fillId="0" borderId="1" applyAlignment="1" pivotButton="0" quotePrefix="0" xfId="6">
      <alignment horizontal="left" vertical="center"/>
    </xf>
    <xf numFmtId="164" fontId="1" fillId="9" borderId="1" applyAlignment="1" pivotButton="0" quotePrefix="0" xfId="0">
      <alignment horizontal="left" vertical="center"/>
    </xf>
    <xf numFmtId="14" fontId="1" fillId="0" borderId="1" applyAlignment="1" pivotButton="0" quotePrefix="0" xfId="0">
      <alignment horizontal="left" vertical="center" wrapText="1"/>
    </xf>
    <xf numFmtId="14" fontId="38" fillId="0" borderId="1" applyAlignment="1" pivotButton="0" quotePrefix="0" xfId="0">
      <alignment horizontal="left" vertical="center"/>
    </xf>
    <xf numFmtId="165" fontId="57" fillId="0" borderId="1" applyAlignment="1" pivotButton="0" quotePrefix="0" xfId="0">
      <alignment horizontal="left" vertical="center"/>
    </xf>
    <xf numFmtId="0" fontId="57" fillId="0" borderId="1" applyAlignment="1" pivotButton="0" quotePrefix="0" xfId="0">
      <alignment horizontal="left" vertical="center"/>
    </xf>
    <xf numFmtId="14" fontId="1" fillId="0" borderId="1" applyAlignment="1" pivotButton="0" quotePrefix="0" xfId="0">
      <alignment horizontal="left" vertical="center"/>
    </xf>
    <xf numFmtId="164" fontId="58" fillId="0" borderId="1" applyAlignment="1" pivotButton="0" quotePrefix="0" xfId="0">
      <alignment horizontal="left" vertical="center" wrapText="1"/>
    </xf>
    <xf numFmtId="164" fontId="59" fillId="0" borderId="1" applyAlignment="1" pivotButton="0" quotePrefix="0" xfId="0">
      <alignment horizontal="left" vertical="center" wrapText="1"/>
    </xf>
    <xf numFmtId="17" fontId="1" fillId="0" borderId="1" applyAlignment="1" pivotButton="0" quotePrefix="0" xfId="0">
      <alignment horizontal="left" vertical="center"/>
    </xf>
    <xf numFmtId="31" fontId="1" fillId="0" borderId="1" applyAlignment="1" pivotButton="0" quotePrefix="0" xfId="0">
      <alignment horizontal="left" vertical="center"/>
    </xf>
    <xf numFmtId="0" fontId="50" fillId="0" borderId="1" applyAlignment="1" pivotButton="0" quotePrefix="0" xfId="6">
      <alignment horizontal="left" vertical="center" wrapText="1"/>
    </xf>
    <xf numFmtId="57" fontId="1" fillId="0" borderId="1" applyAlignment="1" pivotButton="0" quotePrefix="0" xfId="0">
      <alignment horizontal="left" vertical="center"/>
    </xf>
    <xf numFmtId="31" fontId="1" fillId="0" borderId="1" applyAlignment="1" pivotButton="0" quotePrefix="0" xfId="0">
      <alignment horizontal="left" vertical="center" wrapText="1"/>
    </xf>
    <xf numFmtId="31" fontId="38" fillId="0" borderId="1" applyAlignment="1" pivotButton="0" quotePrefix="0" xfId="0">
      <alignment horizontal="left" vertical="center"/>
    </xf>
    <xf numFmtId="0" fontId="1" fillId="14" borderId="1" applyAlignment="1" pivotButton="0" quotePrefix="0" xfId="0">
      <alignment horizontal="left" vertical="center"/>
    </xf>
    <xf numFmtId="0" fontId="1" fillId="14" borderId="1" applyAlignment="1" pivotButton="0" quotePrefix="0" xfId="0">
      <alignment horizontal="left" vertical="center" wrapText="1"/>
    </xf>
    <xf numFmtId="0" fontId="1" fillId="14" borderId="1" applyAlignment="1" pivotButton="0" quotePrefix="0" xfId="0">
      <alignment horizontal="left" vertical="center"/>
    </xf>
    <xf numFmtId="165" fontId="1" fillId="14" borderId="1" applyAlignment="1" pivotButton="0" quotePrefix="0" xfId="0">
      <alignment horizontal="left" vertical="center"/>
    </xf>
    <xf numFmtId="166" fontId="1" fillId="14" borderId="1" applyAlignment="1" pivotButton="0" quotePrefix="0" xfId="0">
      <alignment horizontal="left" vertical="center"/>
    </xf>
    <xf numFmtId="14" fontId="1" fillId="14" borderId="1" applyAlignment="1" pivotButton="0" quotePrefix="0" xfId="0">
      <alignment horizontal="left" vertical="center"/>
    </xf>
    <xf numFmtId="165" fontId="15" fillId="14" borderId="1" applyAlignment="1" pivotButton="0" quotePrefix="0" xfId="0">
      <alignment horizontal="left" vertical="center"/>
    </xf>
    <xf numFmtId="0" fontId="15" fillId="14" borderId="1" applyAlignment="1" pivotButton="0" quotePrefix="0" xfId="0">
      <alignment horizontal="left" vertical="center"/>
    </xf>
    <xf numFmtId="31" fontId="38" fillId="0" borderId="1" applyAlignment="1" pivotButton="0" quotePrefix="0" xfId="0">
      <alignment horizontal="left" vertical="center" wrapText="1"/>
    </xf>
    <xf numFmtId="0" fontId="1" fillId="4" borderId="1" applyAlignment="1" pivotButton="0" quotePrefix="0" xfId="0">
      <alignment horizontal="left" vertical="center"/>
    </xf>
    <xf numFmtId="164" fontId="46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vertical="center"/>
    </xf>
    <xf numFmtId="0" fontId="8" fillId="0" borderId="1" applyAlignment="1" pivotButton="0" quotePrefix="0" xfId="0">
      <alignment vertical="center"/>
    </xf>
    <xf numFmtId="0" fontId="6" fillId="0" borderId="1" applyAlignment="1" pivotButton="0" quotePrefix="0" xfId="0">
      <alignment vertical="center" wrapText="1"/>
    </xf>
    <xf numFmtId="0" fontId="6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/>
    </xf>
    <xf numFmtId="31" fontId="6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center" vertical="center"/>
    </xf>
    <xf numFmtId="0" fontId="10" fillId="0" borderId="1" applyAlignment="1" pivotButton="0" quotePrefix="0" xfId="6">
      <alignment vertical="center"/>
    </xf>
    <xf numFmtId="0" fontId="8" fillId="0" borderId="1" applyAlignment="1" pivotButton="0" quotePrefix="0" xfId="0">
      <alignment horizontal="left" vertical="center"/>
    </xf>
    <xf numFmtId="0" fontId="4" fillId="0" borderId="0" applyAlignment="1" pivotButton="0" quotePrefix="0" xfId="0">
      <alignment horizontal="justify" vertical="center"/>
    </xf>
    <xf numFmtId="164" fontId="10" fillId="0" borderId="1" applyAlignment="1" pivotButton="0" quotePrefix="0" xfId="6">
      <alignment horizontal="left" vertical="center" wrapText="1"/>
    </xf>
    <xf numFmtId="14" fontId="6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vertical="center" wrapText="1"/>
    </xf>
    <xf numFmtId="166" fontId="1" fillId="0" borderId="1" applyAlignment="1" pivotButton="0" quotePrefix="0" xfId="0">
      <alignment horizontal="left" vertical="center" wrapText="1"/>
    </xf>
    <xf numFmtId="164" fontId="59" fillId="0" borderId="1" applyAlignment="1" pivotButton="0" quotePrefix="0" xfId="0">
      <alignment horizontal="left" vertical="center"/>
    </xf>
    <xf numFmtId="0" fontId="1" fillId="15" borderId="1" applyAlignment="1" pivotButton="0" quotePrefix="0" xfId="0">
      <alignment horizontal="left" vertical="center"/>
    </xf>
    <xf numFmtId="0" fontId="6" fillId="15" borderId="1" applyAlignment="1" pivotButton="0" quotePrefix="0" xfId="0">
      <alignment vertical="center" wrapText="1"/>
    </xf>
    <xf numFmtId="0" fontId="6" fillId="15" borderId="1" applyAlignment="1" pivotButton="0" quotePrefix="0" xfId="0">
      <alignment vertical="center"/>
    </xf>
    <xf numFmtId="164" fontId="1" fillId="15" borderId="1" applyAlignment="1" pivotButton="0" quotePrefix="0" xfId="0">
      <alignment horizontal="left" vertical="center" wrapText="1"/>
    </xf>
    <xf numFmtId="0" fontId="6" fillId="15" borderId="1" applyAlignment="1" pivotButton="0" quotePrefix="0" xfId="0">
      <alignment horizontal="left" vertical="center"/>
    </xf>
    <xf numFmtId="31" fontId="6" fillId="15" borderId="1" applyAlignment="1" pivotButton="0" quotePrefix="0" xfId="0">
      <alignment horizontal="left" vertical="center"/>
    </xf>
    <xf numFmtId="165" fontId="1" fillId="15" borderId="1" applyAlignment="1" pivotButton="0" quotePrefix="0" xfId="0">
      <alignment horizontal="left" vertical="center" wrapText="1"/>
    </xf>
    <xf numFmtId="166" fontId="1" fillId="15" borderId="1" applyAlignment="1" pivotButton="0" quotePrefix="0" xfId="0">
      <alignment horizontal="left" vertical="center"/>
    </xf>
    <xf numFmtId="0" fontId="6" fillId="15" borderId="1" applyAlignment="1" pivotButton="0" quotePrefix="0" xfId="0">
      <alignment horizontal="left" vertical="center" wrapText="1"/>
    </xf>
    <xf numFmtId="0" fontId="6" fillId="15" borderId="1" applyAlignment="1" pivotButton="0" quotePrefix="0" xfId="0">
      <alignment horizontal="center" vertical="center"/>
    </xf>
    <xf numFmtId="0" fontId="10" fillId="15" borderId="1" applyAlignment="1" pivotButton="0" quotePrefix="0" xfId="6">
      <alignment vertical="center"/>
    </xf>
    <xf numFmtId="164" fontId="1" fillId="15" borderId="1" applyAlignment="1" pivotButton="0" quotePrefix="0" xfId="0">
      <alignment horizontal="left" vertical="top" wrapText="1"/>
    </xf>
    <xf numFmtId="0" fontId="60" fillId="4" borderId="1" applyAlignment="1" pivotButton="0" quotePrefix="0" xfId="0">
      <alignment vertical="center" wrapText="1"/>
    </xf>
    <xf numFmtId="0" fontId="60" fillId="0" borderId="1" applyAlignment="1" pivotButton="0" quotePrefix="0" xfId="0">
      <alignment vertical="center"/>
    </xf>
    <xf numFmtId="0" fontId="60" fillId="0" borderId="1" applyAlignment="1" pivotButton="0" quotePrefix="0" xfId="0">
      <alignment vertical="center" wrapText="1"/>
    </xf>
    <xf numFmtId="0" fontId="60" fillId="0" borderId="1" applyAlignment="1" pivotButton="0" quotePrefix="0" xfId="0">
      <alignment horizontal="left" vertical="center"/>
    </xf>
    <xf numFmtId="31" fontId="60" fillId="0" borderId="1" applyAlignment="1" pivotButton="0" quotePrefix="0" xfId="0">
      <alignment horizontal="left" vertical="center"/>
    </xf>
    <xf numFmtId="0" fontId="60" fillId="0" borderId="1" applyAlignment="1" pivotButton="0" quotePrefix="0" xfId="0">
      <alignment horizontal="left" vertical="center" wrapText="1"/>
    </xf>
    <xf numFmtId="0" fontId="60" fillId="0" borderId="1" applyAlignment="1" pivotButton="0" quotePrefix="0" xfId="0">
      <alignment horizontal="center" vertical="center"/>
    </xf>
    <xf numFmtId="0" fontId="39" fillId="15" borderId="1" applyAlignment="1" pivotButton="0" quotePrefix="0" xfId="0">
      <alignment horizontal="left" vertical="center"/>
    </xf>
    <xf numFmtId="0" fontId="61" fillId="15" borderId="1" applyAlignment="1" pivotButton="0" quotePrefix="0" xfId="0">
      <alignment vertical="center" wrapText="1"/>
    </xf>
    <xf numFmtId="0" fontId="62" fillId="15" borderId="1" applyAlignment="1" pivotButton="0" quotePrefix="0" xfId="0">
      <alignment vertical="center"/>
    </xf>
    <xf numFmtId="0" fontId="62" fillId="15" borderId="1" applyAlignment="1" pivotButton="0" quotePrefix="0" xfId="0">
      <alignment vertical="center" wrapText="1"/>
    </xf>
    <xf numFmtId="164" fontId="39" fillId="15" borderId="1" applyAlignment="1" pivotButton="0" quotePrefix="0" xfId="0">
      <alignment horizontal="left" vertical="center" wrapText="1"/>
    </xf>
    <xf numFmtId="0" fontId="62" fillId="15" borderId="1" applyAlignment="1" pivotButton="0" quotePrefix="0" xfId="0">
      <alignment horizontal="left" vertical="center"/>
    </xf>
    <xf numFmtId="31" fontId="62" fillId="15" borderId="1" applyAlignment="1" pivotButton="0" quotePrefix="0" xfId="0">
      <alignment horizontal="left" vertical="center"/>
    </xf>
    <xf numFmtId="165" fontId="39" fillId="15" borderId="1" applyAlignment="1" pivotButton="0" quotePrefix="0" xfId="0">
      <alignment horizontal="left" vertical="center"/>
    </xf>
    <xf numFmtId="166" fontId="39" fillId="15" borderId="1" applyAlignment="1" pivotButton="0" quotePrefix="0" xfId="0">
      <alignment horizontal="left" vertical="center"/>
    </xf>
    <xf numFmtId="0" fontId="62" fillId="15" borderId="1" applyAlignment="1" pivotButton="0" quotePrefix="0" xfId="0">
      <alignment horizontal="left" vertical="center" wrapText="1"/>
    </xf>
    <xf numFmtId="0" fontId="62" fillId="15" borderId="1" applyAlignment="1" pivotButton="0" quotePrefix="0" xfId="0">
      <alignment horizontal="center" vertical="center"/>
    </xf>
    <xf numFmtId="165" fontId="39" fillId="15" borderId="1" applyAlignment="1" pivotButton="0" quotePrefix="0" xfId="0">
      <alignment horizontal="left" vertical="center" wrapText="1"/>
    </xf>
    <xf numFmtId="164" fontId="39" fillId="15" borderId="1" applyAlignment="1" pivotButton="0" quotePrefix="0" xfId="0">
      <alignment horizontal="left" vertical="top" wrapText="1"/>
    </xf>
    <xf numFmtId="164" fontId="42" fillId="15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vertical="center" wrapText="1"/>
    </xf>
    <xf numFmtId="0" fontId="63" fillId="0" borderId="1" applyAlignment="1" pivotButton="0" quotePrefix="0" xfId="0">
      <alignment horizontal="left" vertical="center"/>
    </xf>
    <xf numFmtId="0" fontId="64" fillId="0" borderId="1" applyAlignment="1" pivotButton="0" quotePrefix="0" xfId="0">
      <alignment vertical="center" wrapText="1"/>
    </xf>
    <xf numFmtId="0" fontId="64" fillId="0" borderId="1" applyAlignment="1" pivotButton="0" quotePrefix="0" xfId="0">
      <alignment vertical="center"/>
    </xf>
    <xf numFmtId="164" fontId="40" fillId="0" borderId="1" applyAlignment="1" pivotButton="0" quotePrefix="0" xfId="0">
      <alignment horizontal="left" vertical="center" wrapText="1"/>
    </xf>
    <xf numFmtId="0" fontId="64" fillId="0" borderId="1" applyAlignment="1" pivotButton="0" quotePrefix="0" xfId="0">
      <alignment horizontal="left" vertical="center"/>
    </xf>
    <xf numFmtId="31" fontId="64" fillId="0" borderId="1" applyAlignment="1" pivotButton="0" quotePrefix="0" xfId="0">
      <alignment horizontal="left" vertical="center"/>
    </xf>
    <xf numFmtId="31" fontId="64" fillId="0" borderId="1" applyAlignment="1" pivotButton="0" quotePrefix="0" xfId="0">
      <alignment vertical="center"/>
    </xf>
    <xf numFmtId="166" fontId="40" fillId="0" borderId="1" applyAlignment="1" pivotButton="0" quotePrefix="0" xfId="0">
      <alignment horizontal="left" vertical="center"/>
    </xf>
    <xf numFmtId="0" fontId="64" fillId="0" borderId="1" applyAlignment="1" pivotButton="0" quotePrefix="0" xfId="0">
      <alignment horizontal="left" vertical="center" wrapText="1"/>
    </xf>
    <xf numFmtId="0" fontId="64" fillId="0" borderId="1" applyAlignment="1" pivotButton="0" quotePrefix="0" xfId="0">
      <alignment horizontal="center" vertical="center"/>
    </xf>
    <xf numFmtId="165" fontId="40" fillId="0" borderId="1" applyAlignment="1" pivotButton="0" quotePrefix="0" xfId="0">
      <alignment horizontal="left" vertical="center" wrapText="1"/>
    </xf>
    <xf numFmtId="0" fontId="41" fillId="0" borderId="1" applyAlignment="1" pivotButton="0" quotePrefix="0" xfId="0">
      <alignment horizontal="left" vertical="center"/>
    </xf>
    <xf numFmtId="0" fontId="65" fillId="0" borderId="1" applyAlignment="1" pivotButton="0" quotePrefix="0" xfId="0">
      <alignment vertical="center" wrapText="1"/>
    </xf>
    <xf numFmtId="0" fontId="65" fillId="0" borderId="1" applyAlignment="1" pivotButton="0" quotePrefix="0" xfId="0">
      <alignment vertical="center"/>
    </xf>
    <xf numFmtId="164" fontId="41" fillId="0" borderId="1" applyAlignment="1" pivotButton="0" quotePrefix="0" xfId="0">
      <alignment horizontal="left" vertical="center" wrapText="1"/>
    </xf>
    <xf numFmtId="0" fontId="65" fillId="0" borderId="1" applyAlignment="1" pivotButton="0" quotePrefix="0" xfId="0">
      <alignment horizontal="left" vertical="center"/>
    </xf>
    <xf numFmtId="31" fontId="65" fillId="0" borderId="1" applyAlignment="1" pivotButton="0" quotePrefix="0" xfId="0">
      <alignment horizontal="left" vertical="center"/>
    </xf>
    <xf numFmtId="165" fontId="41" fillId="0" borderId="1" applyAlignment="1" pivotButton="0" quotePrefix="0" xfId="0">
      <alignment horizontal="left" vertical="center"/>
    </xf>
    <xf numFmtId="166" fontId="41" fillId="0" borderId="1" applyAlignment="1" pivotButton="0" quotePrefix="0" xfId="0">
      <alignment horizontal="left" vertical="center"/>
    </xf>
    <xf numFmtId="0" fontId="65" fillId="0" borderId="1" applyAlignment="1" pivotButton="0" quotePrefix="0" xfId="0">
      <alignment horizontal="left" vertical="center" wrapText="1"/>
    </xf>
    <xf numFmtId="0" fontId="65" fillId="0" borderId="1" applyAlignment="1" pivotButton="0" quotePrefix="0" xfId="0">
      <alignment horizontal="center" vertical="center"/>
    </xf>
    <xf numFmtId="0" fontId="66" fillId="0" borderId="1" applyAlignment="1" pivotButton="0" quotePrefix="0" xfId="6">
      <alignment vertical="center"/>
    </xf>
    <xf numFmtId="0" fontId="67" fillId="0" borderId="0" applyAlignment="1" pivotButton="0" quotePrefix="0" xfId="0">
      <alignment horizontal="justify" vertical="center"/>
    </xf>
    <xf numFmtId="165" fontId="68" fillId="0" borderId="1" applyAlignment="1" pivotButton="0" quotePrefix="0" xfId="0">
      <alignment horizontal="left" vertical="center"/>
    </xf>
    <xf numFmtId="0" fontId="68" fillId="0" borderId="1" applyAlignment="1" pivotButton="0" quotePrefix="0" xfId="0">
      <alignment horizontal="left" vertical="center"/>
    </xf>
    <xf numFmtId="57" fontId="4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57" fontId="6" fillId="0" borderId="1" applyAlignment="1" pivotButton="0" quotePrefix="0" xfId="0">
      <alignment horizontal="left" vertical="center"/>
    </xf>
    <xf numFmtId="0" fontId="40" fillId="0" borderId="1" applyAlignment="1" pivotButton="0" quotePrefix="0" xfId="0">
      <alignment horizontal="left" vertical="center"/>
    </xf>
    <xf numFmtId="164" fontId="63" fillId="0" borderId="1" applyAlignment="1" pivotButton="0" quotePrefix="0" xfId="0">
      <alignment horizontal="left" vertical="center"/>
    </xf>
    <xf numFmtId="0" fontId="69" fillId="0" borderId="1" applyAlignment="1" pivotButton="0" quotePrefix="0" xfId="0">
      <alignment vertical="center"/>
    </xf>
    <xf numFmtId="0" fontId="70" fillId="0" borderId="1" applyAlignment="1" pivotButton="0" quotePrefix="0" xfId="0">
      <alignment vertical="center"/>
    </xf>
    <xf numFmtId="0" fontId="70" fillId="0" borderId="0" applyAlignment="1" pivotButton="0" quotePrefix="0" xfId="0">
      <alignment horizontal="justify" vertical="center"/>
    </xf>
    <xf numFmtId="31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/>
    </xf>
    <xf numFmtId="0" fontId="71" fillId="0" borderId="0" applyAlignment="1" pivotButton="0" quotePrefix="0" xfId="0">
      <alignment horizontal="justify" vertical="center"/>
    </xf>
    <xf numFmtId="0" fontId="72" fillId="0" borderId="0" applyAlignment="1" pivotButton="0" quotePrefix="0" xfId="0">
      <alignment horizontal="justify" vertical="center" wrapText="1"/>
    </xf>
    <xf numFmtId="0" fontId="61" fillId="8" borderId="1" applyAlignment="1" pivotButton="0" quotePrefix="0" xfId="0">
      <alignment vertical="center" wrapText="1"/>
    </xf>
    <xf numFmtId="164" fontId="42" fillId="8" borderId="1" applyAlignment="1" pivotButton="0" quotePrefix="0" xfId="0">
      <alignment horizontal="left" vertical="center" wrapText="1"/>
    </xf>
    <xf numFmtId="31" fontId="61" fillId="8" borderId="1" applyAlignment="1" pivotButton="0" quotePrefix="0" xfId="0">
      <alignment horizontal="left" vertical="center"/>
    </xf>
    <xf numFmtId="31" fontId="61" fillId="8" borderId="1" applyAlignment="1" pivotButton="0" quotePrefix="0" xfId="0">
      <alignment vertical="center"/>
    </xf>
    <xf numFmtId="166" fontId="42" fillId="8" borderId="1" applyAlignment="1" pivotButton="0" quotePrefix="0" xfId="0">
      <alignment horizontal="left" vertical="center"/>
    </xf>
    <xf numFmtId="0" fontId="61" fillId="8" borderId="1" applyAlignment="1" pivotButton="0" quotePrefix="0" xfId="0">
      <alignment vertical="center"/>
    </xf>
    <xf numFmtId="164" fontId="39" fillId="8" borderId="1" applyAlignment="1" pivotButton="0" quotePrefix="0" xfId="0">
      <alignment horizontal="left" vertical="center"/>
    </xf>
    <xf numFmtId="0" fontId="61" fillId="8" borderId="1" applyAlignment="1" pivotButton="0" quotePrefix="0" xfId="0">
      <alignment horizontal="left" vertical="center" wrapText="1"/>
    </xf>
    <xf numFmtId="0" fontId="61" fillId="8" borderId="1" applyAlignment="1" pivotButton="0" quotePrefix="0" xfId="0">
      <alignment horizontal="center" vertical="center"/>
    </xf>
    <xf numFmtId="0" fontId="61" fillId="8" borderId="1" applyAlignment="1" pivotButton="0" quotePrefix="0" xfId="0">
      <alignment horizontal="left" vertical="center"/>
    </xf>
    <xf numFmtId="0" fontId="73" fillId="8" borderId="1" applyAlignment="1" pivotButton="0" quotePrefix="0" xfId="6">
      <alignment vertical="center"/>
    </xf>
    <xf numFmtId="164" fontId="42" fillId="8" borderId="1" applyAlignment="1" pivotButton="0" quotePrefix="0" xfId="0">
      <alignment horizontal="left" vertical="top" wrapText="1"/>
    </xf>
    <xf numFmtId="0" fontId="42" fillId="0" borderId="1" applyAlignment="1" pivotButton="0" quotePrefix="0" xfId="0">
      <alignment horizontal="left" vertical="center"/>
    </xf>
    <xf numFmtId="0" fontId="61" fillId="0" borderId="1" applyAlignment="1" pivotButton="0" quotePrefix="0" xfId="0">
      <alignment vertical="center" wrapText="1"/>
    </xf>
    <xf numFmtId="164" fontId="42" fillId="0" borderId="1" applyAlignment="1" pivotButton="0" quotePrefix="0" xfId="0">
      <alignment horizontal="left" vertical="center" wrapText="1"/>
    </xf>
    <xf numFmtId="31" fontId="61" fillId="0" borderId="1" applyAlignment="1" pivotButton="0" quotePrefix="0" xfId="0">
      <alignment horizontal="left" vertical="center"/>
    </xf>
    <xf numFmtId="165" fontId="42" fillId="0" borderId="1" applyAlignment="1" pivotButton="0" quotePrefix="0" xfId="0">
      <alignment horizontal="left" vertical="center"/>
    </xf>
    <xf numFmtId="166" fontId="42" fillId="0" borderId="1" applyAlignment="1" pivotButton="0" quotePrefix="0" xfId="0">
      <alignment horizontal="left" vertical="center"/>
    </xf>
    <xf numFmtId="0" fontId="61" fillId="0" borderId="1" applyAlignment="1" pivotButton="0" quotePrefix="0" xfId="0">
      <alignment vertical="center"/>
    </xf>
    <xf numFmtId="0" fontId="61" fillId="0" borderId="1" applyAlignment="1" pivotButton="0" quotePrefix="0" xfId="0">
      <alignment horizontal="left" vertical="center" wrapText="1"/>
    </xf>
    <xf numFmtId="0" fontId="61" fillId="0" borderId="1" applyAlignment="1" pivotButton="0" quotePrefix="0" xfId="0">
      <alignment horizontal="center" vertical="center"/>
    </xf>
    <xf numFmtId="0" fontId="61" fillId="0" borderId="1" applyAlignment="1" pivotButton="0" quotePrefix="0" xfId="0">
      <alignment horizontal="left" vertical="center"/>
    </xf>
    <xf numFmtId="0" fontId="73" fillId="0" borderId="1" applyAlignment="1" pivotButton="0" quotePrefix="0" xfId="6">
      <alignment vertical="center"/>
    </xf>
    <xf numFmtId="165" fontId="74" fillId="0" borderId="1" applyAlignment="1" pivotButton="0" quotePrefix="0" xfId="0">
      <alignment horizontal="left" vertical="center"/>
    </xf>
    <xf numFmtId="0" fontId="74" fillId="0" borderId="1" applyAlignment="1" pivotButton="0" quotePrefix="0" xfId="0">
      <alignment horizontal="left" vertical="center"/>
    </xf>
    <xf numFmtId="0" fontId="75" fillId="0" borderId="0" applyAlignment="1" pivotButton="0" quotePrefix="0" xfId="0">
      <alignment horizontal="justify" vertical="center"/>
    </xf>
    <xf numFmtId="0" fontId="75" fillId="0" borderId="0" applyAlignment="1" pivotButton="0" quotePrefix="0" xfId="0">
      <alignment horizontal="left" vertical="center"/>
    </xf>
    <xf numFmtId="0" fontId="76" fillId="0" borderId="0" applyAlignment="1" pivotButton="0" quotePrefix="0" xfId="0">
      <alignment horizontal="justify" vertical="center"/>
    </xf>
    <xf numFmtId="0" fontId="8" fillId="18" borderId="1" applyAlignment="1" pivotButton="0" quotePrefix="0" xfId="0">
      <alignment horizontal="left" vertical="center" wrapText="1"/>
    </xf>
    <xf numFmtId="0" fontId="10" fillId="0" borderId="1" applyAlignment="1" pivotButton="0" quotePrefix="0" xfId="6">
      <alignment vertical="center"/>
    </xf>
    <xf numFmtId="0" fontId="77" fillId="0" borderId="0" applyAlignment="1" pivotButton="0" quotePrefix="0" xfId="0">
      <alignment vertical="center"/>
    </xf>
    <xf numFmtId="0" fontId="61" fillId="0" borderId="0" applyAlignment="1" pivotButton="0" quotePrefix="0" xfId="0">
      <alignment vertical="center" wrapText="1"/>
    </xf>
    <xf numFmtId="0" fontId="61" fillId="0" borderId="0" applyAlignment="1" pivotButton="0" quotePrefix="0" xfId="0">
      <alignment vertical="center"/>
    </xf>
    <xf numFmtId="0" fontId="61" fillId="18" borderId="1" applyAlignment="1" pivotButton="0" quotePrefix="0" xfId="0">
      <alignment horizontal="left" vertical="center" wrapText="1"/>
    </xf>
    <xf numFmtId="0" fontId="61" fillId="0" borderId="0" applyAlignment="1" pivotButton="0" quotePrefix="0" xfId="0">
      <alignment horizontal="center" vertical="center" wrapText="1"/>
    </xf>
    <xf numFmtId="0" fontId="61" fillId="0" borderId="0" applyAlignment="1" pivotButton="0" quotePrefix="0" xfId="0">
      <alignment horizontal="center" vertical="center"/>
    </xf>
    <xf numFmtId="0" fontId="61" fillId="0" borderId="0" applyAlignment="1" pivotButton="0" quotePrefix="0" xfId="0">
      <alignment horizontal="left" vertical="center"/>
    </xf>
    <xf numFmtId="0" fontId="78" fillId="0" borderId="0" applyAlignment="1" pivotButton="0" quotePrefix="0" xfId="0">
      <alignment vertical="center"/>
    </xf>
    <xf numFmtId="0" fontId="65" fillId="0" borderId="0" applyAlignment="1" pivotButton="0" quotePrefix="0" xfId="0">
      <alignment vertical="center" wrapText="1"/>
    </xf>
    <xf numFmtId="0" fontId="65" fillId="0" borderId="0" applyAlignment="1" pivotButton="0" quotePrefix="0" xfId="0">
      <alignment vertical="center"/>
    </xf>
    <xf numFmtId="0" fontId="65" fillId="0" borderId="0" applyAlignment="1" pivotButton="0" quotePrefix="0" xfId="0">
      <alignment horizontal="left" vertical="center" wrapText="1"/>
    </xf>
    <xf numFmtId="165" fontId="41" fillId="0" borderId="1" applyAlignment="1" pivotButton="0" quotePrefix="0" xfId="0">
      <alignment horizontal="left" vertical="center" wrapText="1"/>
    </xf>
    <xf numFmtId="0" fontId="65" fillId="0" borderId="0" applyAlignment="1" pivotButton="0" quotePrefix="0" xfId="0">
      <alignment horizontal="center" vertical="center" wrapText="1"/>
    </xf>
    <xf numFmtId="0" fontId="65" fillId="0" borderId="0" applyAlignment="1" pivotButton="0" quotePrefix="0" xfId="0">
      <alignment horizontal="center" vertical="center"/>
    </xf>
    <xf numFmtId="0" fontId="65" fillId="0" borderId="0" applyAlignment="1" pivotButton="0" quotePrefix="0" xfId="0">
      <alignment horizontal="left" vertical="center"/>
    </xf>
    <xf numFmtId="0" fontId="66" fillId="0" borderId="0" applyAlignment="1" pivotButton="0" quotePrefix="0" xfId="6">
      <alignment vertical="center"/>
    </xf>
    <xf numFmtId="0" fontId="6" fillId="0" borderId="0" applyAlignment="1" pivotButton="0" quotePrefix="0" xfId="0">
      <alignment vertical="center" wrapText="1"/>
    </xf>
    <xf numFmtId="0" fontId="6" fillId="0" borderId="0" applyAlignment="1" pivotButton="0" quotePrefix="0" xfId="0">
      <alignment vertical="center"/>
    </xf>
    <xf numFmtId="0" fontId="6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79" fillId="0" borderId="0" applyAlignment="1" pivotButton="0" quotePrefix="0" xfId="0">
      <alignment vertical="center"/>
    </xf>
    <xf numFmtId="164" fontId="80" fillId="4" borderId="1" applyAlignment="1" pivotButton="0" quotePrefix="0" xfId="0">
      <alignment horizontal="left" vertical="center"/>
    </xf>
    <xf numFmtId="0" fontId="79" fillId="0" borderId="0" applyAlignment="1" pivotButton="0" quotePrefix="0" xfId="0">
      <alignment vertical="center" wrapText="1"/>
    </xf>
    <xf numFmtId="0" fontId="6" fillId="8" borderId="0" applyAlignment="1" pivotButton="0" quotePrefix="0" xfId="0">
      <alignment vertical="center" wrapText="1"/>
    </xf>
    <xf numFmtId="0" fontId="6" fillId="8" borderId="0" applyAlignment="1" pivotButton="0" quotePrefix="0" xfId="0">
      <alignment vertical="center"/>
    </xf>
    <xf numFmtId="0" fontId="6" fillId="8" borderId="1" applyAlignment="1" pivotButton="0" quotePrefix="0" xfId="0">
      <alignment vertical="center" wrapText="1"/>
    </xf>
    <xf numFmtId="165" fontId="1" fillId="8" borderId="1" applyAlignment="1" pivotButton="0" quotePrefix="0" xfId="0">
      <alignment horizontal="left" vertical="center" wrapText="1"/>
    </xf>
    <xf numFmtId="166" fontId="1" fillId="8" borderId="1" applyAlignment="1" pivotButton="0" quotePrefix="0" xfId="0">
      <alignment horizontal="left" vertical="center"/>
    </xf>
    <xf numFmtId="0" fontId="4" fillId="8" borderId="0" applyAlignment="1" pivotButton="0" quotePrefix="0" xfId="0">
      <alignment horizontal="left" vertical="center"/>
    </xf>
    <xf numFmtId="0" fontId="4" fillId="8" borderId="0" applyAlignment="1" pivotButton="0" quotePrefix="0" xfId="0">
      <alignment vertical="center"/>
    </xf>
    <xf numFmtId="0" fontId="1" fillId="8" borderId="1" applyAlignment="1" pivotButton="0" quotePrefix="0" xfId="0">
      <alignment horizontal="left" vertical="center"/>
    </xf>
    <xf numFmtId="164" fontId="1" fillId="8" borderId="1" applyAlignment="1" pivotButton="0" quotePrefix="0" xfId="0">
      <alignment horizontal="left" vertical="center" wrapText="1"/>
    </xf>
    <xf numFmtId="0" fontId="79" fillId="0" borderId="1" applyAlignment="1" pivotButton="0" quotePrefix="0" xfId="0">
      <alignment vertical="center"/>
    </xf>
    <xf numFmtId="0" fontId="4" fillId="0" borderId="1" applyAlignment="1" pivotButton="0" quotePrefix="0" xfId="0">
      <alignment vertical="center"/>
    </xf>
    <xf numFmtId="0" fontId="65" fillId="18" borderId="1" applyAlignment="1" pivotButton="0" quotePrefix="0" xfId="0">
      <alignment horizontal="left" vertical="center" wrapText="1"/>
    </xf>
    <xf numFmtId="0" fontId="67" fillId="0" borderId="0" applyAlignment="1" pivotButton="0" quotePrefix="0" xfId="0">
      <alignment vertical="center"/>
    </xf>
    <xf numFmtId="0" fontId="81" fillId="0" borderId="1" applyAlignment="1" pivotButton="0" quotePrefix="0" xfId="0">
      <alignment vertical="center"/>
    </xf>
    <xf numFmtId="0" fontId="67" fillId="0" borderId="1" applyAlignment="1" pivotButton="0" quotePrefix="0" xfId="0">
      <alignment vertical="center"/>
    </xf>
    <xf numFmtId="57" fontId="65" fillId="0" borderId="1" applyAlignment="1" pivotButton="0" quotePrefix="0" xfId="0">
      <alignment horizontal="left" vertical="center"/>
    </xf>
    <xf numFmtId="0" fontId="82" fillId="0" borderId="1" applyAlignment="1" pivotButton="0" quotePrefix="0" xfId="0">
      <alignment vertical="center"/>
    </xf>
    <xf numFmtId="0" fontId="83" fillId="0" borderId="1" applyAlignment="1" pivotButton="0" quotePrefix="0" xfId="0">
      <alignment vertical="center"/>
    </xf>
    <xf numFmtId="0" fontId="84" fillId="0" borderId="1" applyAlignment="1" pivotButton="0" quotePrefix="0" xfId="0">
      <alignment vertical="center"/>
    </xf>
    <xf numFmtId="57" fontId="61" fillId="0" borderId="1" applyAlignment="1" pivotButton="0" quotePrefix="0" xfId="0">
      <alignment horizontal="left" vertical="center"/>
    </xf>
    <xf numFmtId="0" fontId="85" fillId="0" borderId="1" applyAlignment="1" pivotButton="0" quotePrefix="0" xfId="0">
      <alignment vertical="center"/>
    </xf>
    <xf numFmtId="0" fontId="86" fillId="0" borderId="1" applyAlignment="1" pivotButton="0" quotePrefix="0" xfId="0">
      <alignment vertical="center"/>
    </xf>
    <xf numFmtId="0" fontId="71" fillId="0" borderId="1" applyAlignment="1" pivotButton="0" quotePrefix="0" xfId="0">
      <alignment vertical="center" wrapText="1"/>
    </xf>
    <xf numFmtId="0" fontId="87" fillId="0" borderId="1" applyAlignment="1" pivotButton="0" quotePrefix="0" xfId="0">
      <alignment vertical="center"/>
    </xf>
    <xf numFmtId="0" fontId="1" fillId="0" borderId="1" applyAlignment="1" pivotButton="0" quotePrefix="0" xfId="0">
      <alignment vertical="center" wrapText="1"/>
    </xf>
    <xf numFmtId="0" fontId="85" fillId="0" borderId="1" applyAlignment="1" pivotButton="0" quotePrefix="0" xfId="0">
      <alignment vertical="center" wrapText="1"/>
    </xf>
    <xf numFmtId="0" fontId="84" fillId="0" borderId="0" applyAlignment="1" pivotButton="0" quotePrefix="0" xfId="0">
      <alignment vertical="center"/>
    </xf>
    <xf numFmtId="0" fontId="41" fillId="0" borderId="1" applyAlignment="1" pivotButton="0" quotePrefix="0" xfId="0">
      <alignment vertical="center" wrapText="1"/>
    </xf>
    <xf numFmtId="0" fontId="82" fillId="0" borderId="1" applyAlignment="1" pivotButton="0" quotePrefix="0" xfId="0">
      <alignment vertical="center" wrapText="1"/>
    </xf>
    <xf numFmtId="0" fontId="1" fillId="8" borderId="1" applyAlignment="1" pivotButton="0" quotePrefix="0" xfId="0">
      <alignment vertical="center" wrapText="1"/>
    </xf>
    <xf numFmtId="0" fontId="6" fillId="8" borderId="1" applyAlignment="1" pivotButton="0" quotePrefix="0" xfId="0">
      <alignment horizontal="left" vertical="center" wrapText="1"/>
    </xf>
    <xf numFmtId="31" fontId="6" fillId="8" borderId="1" applyAlignment="1" pivotButton="0" quotePrefix="0" xfId="0">
      <alignment horizontal="left" vertical="center"/>
    </xf>
    <xf numFmtId="31" fontId="6" fillId="8" borderId="1" applyAlignment="1" pivotButton="0" quotePrefix="0" xfId="0">
      <alignment horizontal="left" vertical="center" wrapText="1"/>
    </xf>
    <xf numFmtId="165" fontId="1" fillId="8" borderId="1" applyAlignment="1" pivotButton="0" quotePrefix="0" xfId="0">
      <alignment horizontal="left" vertical="center"/>
    </xf>
    <xf numFmtId="0" fontId="4" fillId="8" borderId="1" applyAlignment="1" pivotButton="0" quotePrefix="0" xfId="0">
      <alignment vertical="center"/>
    </xf>
    <xf numFmtId="57" fontId="6" fillId="8" borderId="1" applyAlignment="1" pivotButton="0" quotePrefix="0" xfId="0">
      <alignment horizontal="left" vertical="center"/>
    </xf>
    <xf numFmtId="0" fontId="71" fillId="8" borderId="1" applyAlignment="1" pivotButton="0" quotePrefix="0" xfId="0">
      <alignment vertical="center" wrapText="1"/>
    </xf>
    <xf numFmtId="0" fontId="87" fillId="8" borderId="1" applyAlignment="1" pivotButton="0" quotePrefix="0" xfId="0">
      <alignment vertical="center"/>
    </xf>
    <xf numFmtId="165" fontId="15" fillId="8" borderId="1" applyAlignment="1" pivotButton="0" quotePrefix="0" xfId="0">
      <alignment horizontal="left" vertical="center"/>
    </xf>
    <xf numFmtId="0" fontId="15" fillId="8" borderId="1" applyAlignment="1" pivotButton="0" quotePrefix="0" xfId="0">
      <alignment horizontal="left" vertical="center"/>
    </xf>
    <xf numFmtId="0" fontId="71" fillId="0" borderId="1" applyAlignment="1" pivotButton="0" quotePrefix="0" xfId="0">
      <alignment vertical="center"/>
    </xf>
    <xf numFmtId="0" fontId="88" fillId="0" borderId="1" applyAlignment="1" pivotButton="0" quotePrefix="0" xfId="0">
      <alignment vertical="center"/>
    </xf>
    <xf numFmtId="0" fontId="62" fillId="0" borderId="1" applyAlignment="1" pivotButton="0" quotePrefix="0" xfId="0">
      <alignment vertical="center"/>
    </xf>
    <xf numFmtId="0" fontId="62" fillId="0" borderId="1" applyAlignment="1" pivotButton="0" quotePrefix="0" xfId="0">
      <alignment vertical="center" wrapText="1"/>
    </xf>
    <xf numFmtId="0" fontId="62" fillId="0" borderId="1" applyAlignment="1" pivotButton="0" quotePrefix="0" xfId="0">
      <alignment horizontal="left" vertical="center" wrapText="1"/>
    </xf>
    <xf numFmtId="31" fontId="62" fillId="0" borderId="1" applyAlignment="1" pivotButton="0" quotePrefix="0" xfId="0">
      <alignment horizontal="left" vertical="center"/>
    </xf>
    <xf numFmtId="0" fontId="62" fillId="0" borderId="1" applyAlignment="1" pivotButton="0" quotePrefix="0" xfId="0">
      <alignment horizontal="center" vertical="center"/>
    </xf>
    <xf numFmtId="57" fontId="62" fillId="0" borderId="1" applyAlignment="1" pivotButton="0" quotePrefix="0" xfId="0">
      <alignment horizontal="left" vertical="center"/>
    </xf>
    <xf numFmtId="0" fontId="89" fillId="0" borderId="1" applyAlignment="1" pivotButton="0" quotePrefix="0" xfId="0">
      <alignment vertical="center"/>
    </xf>
    <xf numFmtId="0" fontId="90" fillId="0" borderId="1" applyAlignment="1" pivotButton="0" quotePrefix="0" xfId="0">
      <alignment vertical="center"/>
    </xf>
    <xf numFmtId="31" fontId="91" fillId="0" borderId="1" applyAlignment="1" pivotButton="0" quotePrefix="0" xfId="0">
      <alignment horizontal="left" vertical="center"/>
    </xf>
    <xf numFmtId="166" fontId="59" fillId="0" borderId="1" applyAlignment="1" pivotButton="0" quotePrefix="0" xfId="0">
      <alignment horizontal="left" vertical="center"/>
    </xf>
    <xf numFmtId="57" fontId="91" fillId="0" borderId="1" applyAlignment="1" pivotButton="0" quotePrefix="0" xfId="0">
      <alignment horizontal="left" vertical="center"/>
    </xf>
    <xf numFmtId="0" fontId="92" fillId="0" borderId="1" applyAlignment="1" pivotButton="0" quotePrefix="0" xfId="0">
      <alignment vertical="center"/>
    </xf>
    <xf numFmtId="0" fontId="10" fillId="0" borderId="1" applyAlignment="1" pivotButton="0" quotePrefix="0" xfId="6">
      <alignment vertical="center"/>
    </xf>
    <xf numFmtId="1" fontId="1" fillId="0" borderId="1" applyAlignment="1" pivotButton="0" quotePrefix="0" xfId="0">
      <alignment horizontal="left" vertical="center"/>
    </xf>
    <xf numFmtId="0" fontId="71" fillId="0" borderId="0" applyAlignment="1" pivotButton="0" quotePrefix="0" xfId="0">
      <alignment vertical="center"/>
    </xf>
    <xf numFmtId="0" fontId="4" fillId="0" borderId="1" applyAlignment="1" pivotButton="0" quotePrefix="0" xfId="0">
      <alignment horizontal="center" vertical="center"/>
    </xf>
    <xf numFmtId="0" fontId="71" fillId="0" borderId="1" applyAlignment="1" pivotButton="0" quotePrefix="0" xfId="0">
      <alignment horizontal="center" vertical="center"/>
    </xf>
    <xf numFmtId="0" fontId="93" fillId="0" borderId="1" applyAlignment="1" pivotButton="0" quotePrefix="0" xfId="0">
      <alignment horizontal="center" vertical="center"/>
    </xf>
    <xf numFmtId="0" fontId="10" fillId="0" borderId="1" applyAlignment="1" pivotButton="0" quotePrefix="0" xfId="6">
      <alignment horizontal="center" vertical="center"/>
    </xf>
    <xf numFmtId="0" fontId="62" fillId="0" borderId="1" applyAlignment="1" pivotButton="0" quotePrefix="0" xfId="0">
      <alignment horizontal="left" vertical="center"/>
    </xf>
    <xf numFmtId="0" fontId="94" fillId="0" borderId="1" applyAlignment="1" pivotButton="0" quotePrefix="0" xfId="0">
      <alignment horizontal="center" vertical="center"/>
    </xf>
    <xf numFmtId="0" fontId="55" fillId="0" borderId="1" applyAlignment="1" pivotButton="0" quotePrefix="0" xfId="6">
      <alignment horizontal="center" vertical="center"/>
    </xf>
    <xf numFmtId="0" fontId="6" fillId="0" borderId="1" applyAlignment="1" pivotButton="0" quotePrefix="0" xfId="0">
      <alignment horizontal="center" vertical="center" wrapText="1"/>
    </xf>
    <xf numFmtId="0" fontId="10" fillId="0" borderId="0" applyAlignment="1" pivotButton="0" quotePrefix="0" xfId="6">
      <alignment vertical="center"/>
    </xf>
    <xf numFmtId="0" fontId="95" fillId="0" borderId="0" applyAlignment="1" pivotButton="0" quotePrefix="0" xfId="0">
      <alignment horizontal="center" vertical="center"/>
    </xf>
    <xf numFmtId="49" fontId="1" fillId="0" borderId="1" applyAlignment="1" pivotButton="0" quotePrefix="0" xfId="0">
      <alignment horizontal="left" vertical="center"/>
    </xf>
    <xf numFmtId="0" fontId="37" fillId="0" borderId="1" applyAlignment="1" pivotButton="0" quotePrefix="0" xfId="0">
      <alignment vertical="center" wrapText="1"/>
    </xf>
    <xf numFmtId="0" fontId="37" fillId="0" borderId="1" applyAlignment="1" pivotButton="0" quotePrefix="0" xfId="0">
      <alignment vertical="center"/>
    </xf>
    <xf numFmtId="0" fontId="37" fillId="0" borderId="1" applyAlignment="1" pivotButton="0" quotePrefix="0" xfId="0">
      <alignment horizontal="center" vertical="center"/>
    </xf>
    <xf numFmtId="0" fontId="37" fillId="0" borderId="1" applyAlignment="1" pivotButton="0" quotePrefix="0" xfId="0">
      <alignment horizontal="left" vertical="center"/>
    </xf>
    <xf numFmtId="0" fontId="96" fillId="0" borderId="0" applyAlignment="1" pivotButton="0" quotePrefix="0" xfId="6">
      <alignment vertical="center"/>
    </xf>
    <xf numFmtId="0" fontId="97" fillId="0" borderId="11" applyAlignment="1" pivotButton="0" quotePrefix="0" xfId="0">
      <alignment vertical="center" wrapText="1"/>
    </xf>
    <xf numFmtId="0" fontId="97" fillId="0" borderId="0" applyAlignment="1" pivotButton="0" quotePrefix="0" xfId="0">
      <alignment horizontal="center" vertical="center"/>
    </xf>
    <xf numFmtId="0" fontId="98" fillId="0" borderId="0" applyAlignment="1" pivotButton="0" quotePrefix="0" xfId="6">
      <alignment vertical="center"/>
    </xf>
    <xf numFmtId="0" fontId="97" fillId="0" borderId="0" applyAlignment="1" pivotButton="0" quotePrefix="0" xfId="0">
      <alignment vertical="center"/>
    </xf>
    <xf numFmtId="57" fontId="37" fillId="0" borderId="1" applyAlignment="1" pivotButton="0" quotePrefix="0" xfId="0">
      <alignment horizontal="left" vertical="center"/>
    </xf>
    <xf numFmtId="14" fontId="37" fillId="0" borderId="1" applyAlignment="1" pivotButton="0" quotePrefix="0" xfId="0">
      <alignment horizontal="left" vertical="center"/>
    </xf>
    <xf numFmtId="0" fontId="99" fillId="0" borderId="0" applyAlignment="1" pivotButton="0" quotePrefix="0" xfId="0">
      <alignment vertical="center"/>
    </xf>
    <xf numFmtId="164" fontId="1" fillId="0" borderId="1" applyAlignment="1" pivotButton="0" quotePrefix="1" xfId="0">
      <alignment horizontal="left" vertical="center"/>
    </xf>
    <xf numFmtId="164" fontId="38" fillId="0" borderId="1" applyAlignment="1" pivotButton="0" quotePrefix="1" xfId="0">
      <alignment horizontal="left" vertical="center"/>
    </xf>
    <xf numFmtId="164" fontId="38" fillId="0" borderId="1" applyAlignment="1" pivotButton="0" quotePrefix="1" xfId="0">
      <alignment horizontal="left" vertical="center" wrapText="1"/>
    </xf>
    <xf numFmtId="165" fontId="38" fillId="0" borderId="1" applyAlignment="1" pivotButton="0" quotePrefix="1" xfId="0">
      <alignment horizontal="left" vertical="center"/>
    </xf>
    <xf numFmtId="165" fontId="1" fillId="0" borderId="1" applyAlignment="1" pivotButton="0" quotePrefix="1" xfId="0">
      <alignment horizontal="left" vertical="center"/>
    </xf>
    <xf numFmtId="0" fontId="1" fillId="0" borderId="1" applyAlignment="1" pivotButton="0" quotePrefix="1" xfId="0">
      <alignment horizontal="left" vertical="center"/>
    </xf>
    <xf numFmtId="0" fontId="1" fillId="0" borderId="1" applyAlignment="1" pivotButton="0" quotePrefix="1" xfId="0">
      <alignment horizontal="left" vertical="center" wrapText="1"/>
    </xf>
    <xf numFmtId="0" fontId="38" fillId="0" borderId="1" applyAlignment="1" pivotButton="0" quotePrefix="1" xfId="0">
      <alignment horizontal="left" vertical="center"/>
    </xf>
    <xf numFmtId="0" fontId="38" fillId="0" borderId="1" applyAlignment="1" pivotButton="0" quotePrefix="1" xfId="0">
      <alignment horizontal="left" vertical="center" wrapText="1"/>
    </xf>
    <xf numFmtId="164" fontId="39" fillId="0" borderId="1" applyAlignment="1" pivotButton="0" quotePrefix="1" xfId="0">
      <alignment horizontal="left" vertical="center"/>
    </xf>
    <xf numFmtId="0" fontId="1" fillId="0" borderId="1" applyAlignment="1" pivotButton="0" quotePrefix="1" xfId="0">
      <alignment horizontal="left" vertical="center"/>
    </xf>
    <xf numFmtId="0" fontId="1" fillId="14" borderId="1" applyAlignment="1" pivotButton="0" quotePrefix="1" xfId="0">
      <alignment horizontal="left" vertical="center"/>
    </xf>
    <xf numFmtId="0" fontId="6" fillId="0" borderId="1" applyAlignment="1" pivotButton="0" quotePrefix="1" xfId="0">
      <alignment vertical="center"/>
    </xf>
    <xf numFmtId="0" fontId="6" fillId="15" borderId="1" applyAlignment="1" pivotButton="0" quotePrefix="1" xfId="0">
      <alignment vertical="center"/>
    </xf>
    <xf numFmtId="0" fontId="60" fillId="0" borderId="1" applyAlignment="1" pivotButton="0" quotePrefix="1" xfId="0">
      <alignment vertical="center"/>
    </xf>
    <xf numFmtId="0" fontId="62" fillId="15" borderId="1" applyAlignment="1" pivotButton="0" quotePrefix="1" xfId="0">
      <alignment vertical="center"/>
    </xf>
    <xf numFmtId="0" fontId="64" fillId="0" borderId="1" applyAlignment="1" pivotButton="0" quotePrefix="1" xfId="0">
      <alignment vertical="center"/>
    </xf>
    <xf numFmtId="0" fontId="65" fillId="0" borderId="1" applyAlignment="1" pivotButton="0" quotePrefix="1" xfId="0">
      <alignment vertical="center"/>
    </xf>
    <xf numFmtId="0" fontId="8" fillId="0" borderId="1" applyAlignment="1" pivotButton="0" quotePrefix="1" xfId="0">
      <alignment vertical="center"/>
    </xf>
    <xf numFmtId="0" fontId="61" fillId="8" borderId="1" applyAlignment="1" pivotButton="0" quotePrefix="1" xfId="0">
      <alignment vertical="center"/>
    </xf>
    <xf numFmtId="164" fontId="42" fillId="8" borderId="1" applyAlignment="1" pivotButton="0" quotePrefix="1" xfId="0">
      <alignment horizontal="left" vertical="center"/>
    </xf>
    <xf numFmtId="0" fontId="61" fillId="0" borderId="1" applyAlignment="1" pivotButton="0" quotePrefix="1" xfId="0">
      <alignment vertical="center"/>
    </xf>
    <xf numFmtId="164" fontId="42" fillId="0" borderId="1" applyAlignment="1" pivotButton="0" quotePrefix="1" xfId="0">
      <alignment horizontal="left" vertical="center"/>
    </xf>
    <xf numFmtId="0" fontId="75" fillId="0" borderId="0" applyAlignment="1" pivotButton="0" quotePrefix="1" xfId="0">
      <alignment horizontal="justify" vertical="center"/>
    </xf>
    <xf numFmtId="0" fontId="61" fillId="0" borderId="0" applyAlignment="1" pivotButton="0" quotePrefix="1" xfId="0">
      <alignment vertical="center"/>
    </xf>
    <xf numFmtId="0" fontId="6" fillId="0" borderId="0" applyAlignment="1" pivotButton="0" quotePrefix="1" xfId="0">
      <alignment vertical="center"/>
    </xf>
    <xf numFmtId="164" fontId="1" fillId="8" borderId="1" applyAlignment="1" pivotButton="0" quotePrefix="1" xfId="0">
      <alignment horizontal="left" vertical="center" wrapText="1"/>
    </xf>
    <xf numFmtId="0" fontId="4" fillId="0" borderId="1" applyAlignment="1" pivotButton="0" quotePrefix="1" xfId="0">
      <alignment vertical="center"/>
    </xf>
    <xf numFmtId="164" fontId="41" fillId="0" borderId="1" applyAlignment="1" pivotButton="0" quotePrefix="1" xfId="0">
      <alignment horizontal="left" vertical="center"/>
    </xf>
    <xf numFmtId="0" fontId="6" fillId="8" borderId="1" applyAlignment="1" pivotButton="0" quotePrefix="1" xfId="0">
      <alignment vertical="center"/>
    </xf>
    <xf numFmtId="0" fontId="62" fillId="0" borderId="1" applyAlignment="1" pivotButton="0" quotePrefix="1" xfId="0">
      <alignment vertical="center"/>
    </xf>
    <xf numFmtId="0" fontId="6" fillId="0" borderId="1" applyAlignment="1" pivotButton="0" quotePrefix="1" xfId="0">
      <alignment horizontal="center" vertical="center"/>
    </xf>
    <xf numFmtId="0" fontId="37" fillId="0" borderId="1" applyAlignment="1" pivotButton="0" quotePrefix="1" xfId="0">
      <alignment vertical="center"/>
    </xf>
    <xf numFmtId="0" fontId="97" fillId="0" borderId="0" applyAlignment="1" pivotButton="0" quotePrefix="1" xfId="0">
      <alignment vertical="center"/>
    </xf>
    <xf numFmtId="0" fontId="29" fillId="0" borderId="1" applyAlignment="1" pivotButton="0" quotePrefix="1" xfId="0">
      <alignment horizontal="center" vertical="center"/>
    </xf>
    <xf numFmtId="0" fontId="28" fillId="0" borderId="1" applyAlignment="1" pivotButton="0" quotePrefix="1" xfId="0">
      <alignment horizontal="center" vertical="center"/>
    </xf>
    <xf numFmtId="17" fontId="28" fillId="0" borderId="1" applyAlignment="1" pivotButton="0" quotePrefix="1" xfId="0">
      <alignment horizontal="center" vertical="center"/>
    </xf>
    <xf numFmtId="0" fontId="28" fillId="0" borderId="1" applyAlignment="1" pivotButton="0" quotePrefix="1" xfId="0">
      <alignment horizontal="center" vertical="center"/>
    </xf>
    <xf numFmtId="0" fontId="20" fillId="0" borderId="1" applyAlignment="1" pivotButton="0" quotePrefix="1" xfId="0">
      <alignment horizontal="center" vertical="center"/>
    </xf>
    <xf numFmtId="0" fontId="15" fillId="0" borderId="1" applyAlignment="1" pivotButton="0" quotePrefix="1" xfId="0">
      <alignment horizontal="left" vertical="center"/>
    </xf>
    <xf numFmtId="0" fontId="6" fillId="6" borderId="1" applyAlignment="1" pivotButton="0" quotePrefix="1" xfId="0">
      <alignment horizontal="left" vertical="center"/>
    </xf>
    <xf numFmtId="0" fontId="6" fillId="6" borderId="1" applyAlignment="1" pivotButton="0" quotePrefix="1" xfId="0">
      <alignment horizontal="left" vertical="center" wrapText="1"/>
    </xf>
    <xf numFmtId="0" fontId="6" fillId="7" borderId="1" applyAlignment="1" pivotButton="0" quotePrefix="1" xfId="0">
      <alignment horizontal="center" vertical="center"/>
    </xf>
    <xf numFmtId="0" fontId="8" fillId="7" borderId="1" applyAlignment="1" pivotButton="0" quotePrefix="1" xfId="0">
      <alignment horizontal="left" vertical="center" wrapText="1"/>
    </xf>
    <xf numFmtId="0" fontId="6" fillId="8" borderId="1" applyAlignment="1" pivotButton="0" quotePrefix="1" xfId="0">
      <alignment horizontal="center" vertical="center"/>
    </xf>
    <xf numFmtId="0" fontId="8" fillId="8" borderId="1" applyAlignment="1" pivotButton="0" quotePrefix="1" xfId="0">
      <alignment horizontal="left" vertical="center" wrapText="1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1" xfId="0">
      <alignment vertical="center" wrapText="1"/>
    </xf>
    <xf numFmtId="164" fontId="1" fillId="0" borderId="1" applyAlignment="1" pivotButton="0" quotePrefix="0" xfId="0">
      <alignment horizontal="left" vertical="center"/>
    </xf>
    <xf numFmtId="165" fontId="1" fillId="0" borderId="1" applyAlignment="1" pivotButton="0" quotePrefix="0" xfId="0">
      <alignment horizontal="left" vertical="center"/>
    </xf>
    <xf numFmtId="166" fontId="1" fillId="0" borderId="1" applyAlignment="1" pivotButton="0" quotePrefix="0" xfId="0">
      <alignment horizontal="left" vertical="center"/>
    </xf>
    <xf numFmtId="164" fontId="37" fillId="0" borderId="1" applyAlignment="1" pivotButton="0" quotePrefix="0" xfId="0">
      <alignment horizontal="left" vertical="center"/>
    </xf>
    <xf numFmtId="0" fontId="43" fillId="16" borderId="1" applyAlignment="1" pivotButton="0" quotePrefix="0" xfId="0">
      <alignment horizontal="left" vertical="center" wrapText="1"/>
    </xf>
    <xf numFmtId="0" fontId="0" fillId="0" borderId="12" pivotButton="0" quotePrefix="0" xfId="0"/>
    <xf numFmtId="0" fontId="0" fillId="0" borderId="10" pivotButton="0" quotePrefix="0" xfId="0"/>
    <xf numFmtId="164" fontId="1" fillId="4" borderId="1" applyAlignment="1" pivotButton="0" quotePrefix="0" xfId="0">
      <alignment horizontal="left" vertical="center"/>
    </xf>
    <xf numFmtId="164" fontId="1" fillId="3" borderId="1" applyAlignment="1" pivotButton="0" quotePrefix="0" xfId="0">
      <alignment horizontal="left" vertical="center" wrapText="1"/>
    </xf>
    <xf numFmtId="164" fontId="1" fillId="0" borderId="1" applyAlignment="1" pivotButton="0" quotePrefix="0" xfId="0">
      <alignment horizontal="left" vertical="center" wrapText="1"/>
    </xf>
    <xf numFmtId="165" fontId="1" fillId="4" borderId="1" applyAlignment="1" pivotButton="0" quotePrefix="0" xfId="0">
      <alignment horizontal="left" vertical="center"/>
    </xf>
    <xf numFmtId="164" fontId="37" fillId="0" borderId="1" applyAlignment="1" pivotButton="0" quotePrefix="0" xfId="0">
      <alignment horizontal="left" vertical="center" wrapText="1"/>
    </xf>
    <xf numFmtId="164" fontId="14" fillId="9" borderId="1" applyAlignment="1" pivotButton="0" quotePrefix="0" xfId="0">
      <alignment horizontal="left" vertical="center"/>
    </xf>
    <xf numFmtId="164" fontId="47" fillId="0" borderId="1" applyAlignment="1" pivotButton="0" quotePrefix="0" xfId="6">
      <alignment horizontal="left" vertical="center"/>
    </xf>
    <xf numFmtId="164" fontId="1" fillId="0" borderId="1" applyAlignment="1" pivotButton="0" quotePrefix="1" xfId="0">
      <alignment horizontal="left" vertical="center"/>
    </xf>
    <xf numFmtId="165" fontId="1" fillId="0" borderId="1" applyAlignment="1" pivotButton="0" quotePrefix="0" xfId="0">
      <alignment horizontal="left" vertical="center" wrapText="1"/>
    </xf>
    <xf numFmtId="165" fontId="15" fillId="0" borderId="1" applyAlignment="1" pivotButton="0" quotePrefix="0" xfId="0">
      <alignment horizontal="left" vertical="center"/>
    </xf>
    <xf numFmtId="164" fontId="38" fillId="0" borderId="1" applyAlignment="1" pivotButton="0" quotePrefix="0" xfId="0">
      <alignment horizontal="left" vertical="center"/>
    </xf>
    <xf numFmtId="164" fontId="38" fillId="0" borderId="1" applyAlignment="1" pivotButton="0" quotePrefix="0" xfId="0">
      <alignment horizontal="left" vertical="center" wrapText="1"/>
    </xf>
    <xf numFmtId="165" fontId="38" fillId="0" borderId="1" applyAlignment="1" pivotButton="0" quotePrefix="0" xfId="0">
      <alignment horizontal="left" vertical="center"/>
    </xf>
    <xf numFmtId="165" fontId="38" fillId="0" borderId="1" applyAlignment="1" pivotButton="0" quotePrefix="0" xfId="0">
      <alignment horizontal="left" vertical="center" wrapText="1"/>
    </xf>
    <xf numFmtId="166" fontId="38" fillId="0" borderId="1" applyAlignment="1" pivotButton="0" quotePrefix="0" xfId="0">
      <alignment horizontal="left" vertical="center"/>
    </xf>
    <xf numFmtId="164" fontId="39" fillId="0" borderId="1" applyAlignment="1" pivotButton="0" quotePrefix="0" xfId="0">
      <alignment horizontal="left" vertical="center"/>
    </xf>
    <xf numFmtId="164" fontId="10" fillId="0" borderId="1" applyAlignment="1" pivotButton="0" quotePrefix="0" xfId="6">
      <alignment horizontal="left" vertical="center"/>
    </xf>
    <xf numFmtId="164" fontId="38" fillId="0" borderId="1" applyAlignment="1" pivotButton="0" quotePrefix="1" xfId="0">
      <alignment horizontal="left" vertical="center"/>
    </xf>
    <xf numFmtId="164" fontId="48" fillId="0" borderId="1" applyAlignment="1" pivotButton="0" quotePrefix="0" xfId="6">
      <alignment horizontal="left" vertical="center"/>
    </xf>
    <xf numFmtId="0" fontId="0" fillId="0" borderId="0" pivotButton="0" quotePrefix="0" xfId="0"/>
    <xf numFmtId="164" fontId="38" fillId="0" borderId="1" applyAlignment="1" pivotButton="0" quotePrefix="0" xfId="49">
      <alignment horizontal="left" vertical="center" wrapText="1"/>
    </xf>
    <xf numFmtId="164" fontId="38" fillId="0" borderId="1" applyAlignment="1" pivotButton="0" quotePrefix="1" xfId="0">
      <alignment horizontal="left" vertical="center" wrapText="1"/>
    </xf>
    <xf numFmtId="166" fontId="38" fillId="0" borderId="1" applyAlignment="1" pivotButton="0" quotePrefix="0" xfId="0">
      <alignment horizontal="left" vertical="center" wrapText="1"/>
    </xf>
    <xf numFmtId="164" fontId="39" fillId="0" borderId="1" applyAlignment="1" pivotButton="0" quotePrefix="0" xfId="0">
      <alignment horizontal="left" vertical="center" wrapText="1"/>
    </xf>
    <xf numFmtId="164" fontId="49" fillId="0" borderId="1" applyAlignment="1" pivotButton="0" quotePrefix="0" xfId="6">
      <alignment horizontal="left" vertical="center"/>
    </xf>
    <xf numFmtId="165" fontId="38" fillId="0" borderId="1" applyAlignment="1" pivotButton="0" quotePrefix="1" xfId="0">
      <alignment horizontal="left" vertical="center"/>
    </xf>
    <xf numFmtId="165" fontId="1" fillId="0" borderId="1" applyAlignment="1" pivotButton="0" quotePrefix="1" xfId="0">
      <alignment horizontal="left" vertical="center"/>
    </xf>
    <xf numFmtId="164" fontId="50" fillId="0" borderId="1" applyAlignment="1" pivotButton="0" quotePrefix="0" xfId="6">
      <alignment horizontal="left" vertical="center"/>
    </xf>
    <xf numFmtId="164" fontId="51" fillId="0" borderId="1" applyAlignment="1" pivotButton="0" quotePrefix="0" xfId="0">
      <alignment horizontal="left" vertical="center"/>
    </xf>
    <xf numFmtId="165" fontId="52" fillId="0" borderId="1" applyAlignment="1" pivotButton="0" quotePrefix="0" xfId="0">
      <alignment horizontal="left" vertical="center"/>
    </xf>
    <xf numFmtId="164" fontId="53" fillId="0" borderId="1" applyAlignment="1" pivotButton="0" quotePrefix="0" xfId="6">
      <alignment horizontal="left" vertical="center"/>
    </xf>
    <xf numFmtId="164" fontId="1" fillId="0" borderId="1" applyAlignment="1" pivotButton="0" quotePrefix="0" xfId="49">
      <alignment horizontal="left" vertical="center"/>
    </xf>
    <xf numFmtId="165" fontId="39" fillId="0" borderId="1" applyAlignment="1" pivotButton="0" quotePrefix="0" xfId="0">
      <alignment horizontal="left" vertical="center"/>
    </xf>
    <xf numFmtId="165" fontId="42" fillId="0" borderId="1" applyAlignment="1" pivotButton="0" quotePrefix="0" xfId="0">
      <alignment horizontal="left" vertical="center" wrapText="1"/>
    </xf>
    <xf numFmtId="166" fontId="39" fillId="0" borderId="1" applyAlignment="1" pivotButton="0" quotePrefix="0" xfId="0">
      <alignment horizontal="left" vertical="center"/>
    </xf>
    <xf numFmtId="164" fontId="55" fillId="0" borderId="1" applyAlignment="1" pivotButton="0" quotePrefix="0" xfId="6">
      <alignment horizontal="left" vertical="center"/>
    </xf>
    <xf numFmtId="164" fontId="39" fillId="0" borderId="1" applyAlignment="1" pivotButton="0" quotePrefix="1" xfId="0">
      <alignment horizontal="left" vertical="center"/>
    </xf>
    <xf numFmtId="165" fontId="39" fillId="0" borderId="1" applyAlignment="1" pivotButton="0" quotePrefix="0" xfId="0">
      <alignment horizontal="left" vertical="center" wrapText="1"/>
    </xf>
    <xf numFmtId="165" fontId="56" fillId="0" borderId="1" applyAlignment="1" pivotButton="0" quotePrefix="0" xfId="0">
      <alignment horizontal="left" vertical="center"/>
    </xf>
    <xf numFmtId="165" fontId="57" fillId="0" borderId="1" applyAlignment="1" pivotButton="0" quotePrefix="0" xfId="0">
      <alignment horizontal="left" vertical="center"/>
    </xf>
    <xf numFmtId="164" fontId="1" fillId="14" borderId="1" applyAlignment="1" pivotButton="0" quotePrefix="0" xfId="0">
      <alignment horizontal="left" vertical="center"/>
    </xf>
    <xf numFmtId="165" fontId="1" fillId="14" borderId="1" applyAlignment="1" pivotButton="0" quotePrefix="0" xfId="0">
      <alignment horizontal="left" vertical="center"/>
    </xf>
    <xf numFmtId="166" fontId="1" fillId="14" borderId="1" applyAlignment="1" pivotButton="0" quotePrefix="0" xfId="0">
      <alignment horizontal="left" vertical="center"/>
    </xf>
    <xf numFmtId="165" fontId="15" fillId="14" borderId="1" applyAlignment="1" pivotButton="0" quotePrefix="0" xfId="0">
      <alignment horizontal="left" vertical="center"/>
    </xf>
    <xf numFmtId="164" fontId="10" fillId="0" borderId="1" applyAlignment="1" pivotButton="0" quotePrefix="0" xfId="6">
      <alignment horizontal="left" vertical="center" wrapText="1"/>
    </xf>
    <xf numFmtId="166" fontId="1" fillId="0" borderId="1" applyAlignment="1" pivotButton="0" quotePrefix="0" xfId="0">
      <alignment horizontal="left" vertical="center" wrapText="1"/>
    </xf>
    <xf numFmtId="164" fontId="1" fillId="15" borderId="1" applyAlignment="1" pivotButton="0" quotePrefix="0" xfId="0">
      <alignment horizontal="left" vertical="center"/>
    </xf>
    <xf numFmtId="164" fontId="1" fillId="15" borderId="1" applyAlignment="1" pivotButton="0" quotePrefix="0" xfId="0">
      <alignment horizontal="left" vertical="center" wrapText="1"/>
    </xf>
    <xf numFmtId="165" fontId="1" fillId="15" borderId="1" applyAlignment="1" pivotButton="0" quotePrefix="0" xfId="0">
      <alignment horizontal="left" vertical="center" wrapText="1"/>
    </xf>
    <xf numFmtId="166" fontId="1" fillId="15" borderId="1" applyAlignment="1" pivotButton="0" quotePrefix="0" xfId="0">
      <alignment horizontal="left" vertical="center"/>
    </xf>
    <xf numFmtId="164" fontId="39" fillId="15" borderId="1" applyAlignment="1" pivotButton="0" quotePrefix="0" xfId="0">
      <alignment horizontal="left" vertical="center"/>
    </xf>
    <xf numFmtId="164" fontId="39" fillId="15" borderId="1" applyAlignment="1" pivotButton="0" quotePrefix="0" xfId="0">
      <alignment horizontal="left" vertical="center" wrapText="1"/>
    </xf>
    <xf numFmtId="165" fontId="39" fillId="15" borderId="1" applyAlignment="1" pivotButton="0" quotePrefix="0" xfId="0">
      <alignment horizontal="left" vertical="center"/>
    </xf>
    <xf numFmtId="166" fontId="39" fillId="15" borderId="1" applyAlignment="1" pivotButton="0" quotePrefix="0" xfId="0">
      <alignment horizontal="left" vertical="center"/>
    </xf>
    <xf numFmtId="165" fontId="39" fillId="15" borderId="1" applyAlignment="1" pivotButton="0" quotePrefix="0" xfId="0">
      <alignment horizontal="left" vertical="center" wrapText="1"/>
    </xf>
    <xf numFmtId="164" fontId="40" fillId="0" borderId="1" applyAlignment="1" pivotButton="0" quotePrefix="0" xfId="0">
      <alignment horizontal="left" vertical="center"/>
    </xf>
    <xf numFmtId="164" fontId="40" fillId="0" borderId="1" applyAlignment="1" pivotButton="0" quotePrefix="0" xfId="0">
      <alignment horizontal="left" vertical="center" wrapText="1"/>
    </xf>
    <xf numFmtId="166" fontId="40" fillId="0" borderId="1" applyAlignment="1" pivotButton="0" quotePrefix="0" xfId="0">
      <alignment horizontal="left" vertical="center"/>
    </xf>
    <xf numFmtId="165" fontId="40" fillId="0" borderId="1" applyAlignment="1" pivotButton="0" quotePrefix="0" xfId="0">
      <alignment horizontal="left" vertical="center" wrapText="1"/>
    </xf>
    <xf numFmtId="164" fontId="41" fillId="0" borderId="1" applyAlignment="1" pivotButton="0" quotePrefix="0" xfId="0">
      <alignment horizontal="left" vertical="center"/>
    </xf>
    <xf numFmtId="164" fontId="41" fillId="0" borderId="1" applyAlignment="1" pivotButton="0" quotePrefix="0" xfId="0">
      <alignment horizontal="left" vertical="center" wrapText="1"/>
    </xf>
    <xf numFmtId="165" fontId="41" fillId="0" borderId="1" applyAlignment="1" pivotButton="0" quotePrefix="0" xfId="0">
      <alignment horizontal="left" vertical="center"/>
    </xf>
    <xf numFmtId="166" fontId="41" fillId="0" borderId="1" applyAlignment="1" pivotButton="0" quotePrefix="0" xfId="0">
      <alignment horizontal="left" vertical="center"/>
    </xf>
    <xf numFmtId="165" fontId="68" fillId="0" borderId="1" applyAlignment="1" pivotButton="0" quotePrefix="0" xfId="0">
      <alignment horizontal="left" vertical="center"/>
    </xf>
    <xf numFmtId="164" fontId="63" fillId="0" borderId="1" applyAlignment="1" pivotButton="0" quotePrefix="0" xfId="0">
      <alignment horizontal="left" vertical="center"/>
    </xf>
    <xf numFmtId="164" fontId="42" fillId="8" borderId="1" applyAlignment="1" pivotButton="0" quotePrefix="0" xfId="0">
      <alignment horizontal="left" vertical="center"/>
    </xf>
    <xf numFmtId="164" fontId="42" fillId="8" borderId="1" applyAlignment="1" pivotButton="0" quotePrefix="0" xfId="0">
      <alignment horizontal="left" vertical="center" wrapText="1"/>
    </xf>
    <xf numFmtId="166" fontId="42" fillId="8" borderId="1" applyAlignment="1" pivotButton="0" quotePrefix="0" xfId="0">
      <alignment horizontal="left" vertical="center"/>
    </xf>
    <xf numFmtId="164" fontId="39" fillId="8" borderId="1" applyAlignment="1" pivotButton="0" quotePrefix="0" xfId="0">
      <alignment horizontal="left" vertical="center"/>
    </xf>
    <xf numFmtId="164" fontId="42" fillId="8" borderId="1" applyAlignment="1" pivotButton="0" quotePrefix="1" xfId="0">
      <alignment horizontal="left" vertical="center"/>
    </xf>
    <xf numFmtId="164" fontId="42" fillId="0" borderId="1" applyAlignment="1" pivotButton="0" quotePrefix="0" xfId="0">
      <alignment horizontal="left" vertical="center"/>
    </xf>
    <xf numFmtId="164" fontId="42" fillId="0" borderId="1" applyAlignment="1" pivotButton="0" quotePrefix="0" xfId="0">
      <alignment horizontal="left" vertical="center" wrapText="1"/>
    </xf>
    <xf numFmtId="165" fontId="42" fillId="0" borderId="1" applyAlignment="1" pivotButton="0" quotePrefix="0" xfId="0">
      <alignment horizontal="left" vertical="center"/>
    </xf>
    <xf numFmtId="166" fontId="42" fillId="0" borderId="1" applyAlignment="1" pivotButton="0" quotePrefix="0" xfId="0">
      <alignment horizontal="left" vertical="center"/>
    </xf>
    <xf numFmtId="164" fontId="42" fillId="0" borderId="1" applyAlignment="1" pivotButton="0" quotePrefix="1" xfId="0">
      <alignment horizontal="left" vertical="center"/>
    </xf>
    <xf numFmtId="165" fontId="74" fillId="0" borderId="1" applyAlignment="1" pivotButton="0" quotePrefix="0" xfId="0">
      <alignment horizontal="left" vertical="center"/>
    </xf>
    <xf numFmtId="165" fontId="41" fillId="0" borderId="1" applyAlignment="1" pivotButton="0" quotePrefix="0" xfId="0">
      <alignment horizontal="left" vertical="center" wrapText="1"/>
    </xf>
    <xf numFmtId="164" fontId="1" fillId="8" borderId="1" applyAlignment="1" pivotButton="0" quotePrefix="0" xfId="0">
      <alignment horizontal="left" vertical="center"/>
    </xf>
    <xf numFmtId="165" fontId="1" fillId="8" borderId="1" applyAlignment="1" pivotButton="0" quotePrefix="0" xfId="0">
      <alignment horizontal="left" vertical="center" wrapText="1"/>
    </xf>
    <xf numFmtId="166" fontId="1" fillId="8" borderId="1" applyAlignment="1" pivotButton="0" quotePrefix="0" xfId="0">
      <alignment horizontal="left" vertical="center"/>
    </xf>
    <xf numFmtId="164" fontId="1" fillId="8" borderId="1" applyAlignment="1" pivotButton="0" quotePrefix="1" xfId="0">
      <alignment horizontal="left" vertical="center" wrapText="1"/>
    </xf>
    <xf numFmtId="164" fontId="41" fillId="0" borderId="1" applyAlignment="1" pivotButton="0" quotePrefix="1" xfId="0">
      <alignment horizontal="left" vertical="center"/>
    </xf>
    <xf numFmtId="165" fontId="1" fillId="8" borderId="1" applyAlignment="1" pivotButton="0" quotePrefix="0" xfId="0">
      <alignment horizontal="left" vertical="center"/>
    </xf>
    <xf numFmtId="164" fontId="1" fillId="8" borderId="1" applyAlignment="1" pivotButton="0" quotePrefix="0" xfId="0">
      <alignment horizontal="left" vertical="center" wrapText="1"/>
    </xf>
    <xf numFmtId="165" fontId="15" fillId="8" borderId="1" applyAlignment="1" pivotButton="0" quotePrefix="0" xfId="0">
      <alignment horizontal="left" vertical="center"/>
    </xf>
    <xf numFmtId="164" fontId="59" fillId="0" borderId="1" applyAlignment="1" pivotButton="0" quotePrefix="0" xfId="0">
      <alignment horizontal="left" vertical="center"/>
    </xf>
    <xf numFmtId="166" fontId="59" fillId="0" borderId="1" applyAlignment="1" pivotButton="0" quotePrefix="0" xfId="0">
      <alignment horizontal="left" vertical="center"/>
    </xf>
    <xf numFmtId="164" fontId="46" fillId="0" borderId="1" applyAlignment="1" pivotButton="0" quotePrefix="0" xfId="0">
      <alignment horizontal="left" vertical="center" wrapText="1"/>
    </xf>
    <xf numFmtId="164" fontId="28" fillId="0" borderId="1" applyAlignment="1" pivotButton="0" quotePrefix="0" xfId="0">
      <alignment horizontal="center" vertical="center"/>
    </xf>
    <xf numFmtId="0" fontId="26" fillId="13" borderId="11" applyAlignment="1" pivotButton="0" quotePrefix="0" xfId="0">
      <alignment horizontal="center" vertical="center" wrapText="1"/>
    </xf>
    <xf numFmtId="0" fontId="0" fillId="0" borderId="11" pivotButton="0" quotePrefix="0" xfId="0"/>
    <xf numFmtId="0" fontId="27" fillId="0" borderId="11" applyAlignment="1" pivotButton="0" quotePrefix="0" xfId="0">
      <alignment horizontal="center" vertical="center" wrapText="1"/>
    </xf>
    <xf numFmtId="0" fontId="25" fillId="0" borderId="11" applyAlignment="1" pivotButton="0" quotePrefix="0" xfId="0">
      <alignment horizontal="center" vertical="center" wrapText="1"/>
    </xf>
    <xf numFmtId="164" fontId="5" fillId="0" borderId="1" applyAlignment="1" pivotButton="0" quotePrefix="0" xfId="0">
      <alignment horizontal="left" vertical="center"/>
    </xf>
    <xf numFmtId="164" fontId="14" fillId="2" borderId="1" applyAlignment="1" pivotButton="0" quotePrefix="0" xfId="0">
      <alignment horizontal="left" vertical="center"/>
    </xf>
    <xf numFmtId="164" fontId="14" fillId="2" borderId="1" applyAlignment="1" pivotButton="0" quotePrefix="0" xfId="0">
      <alignment horizontal="left" vertical="center" wrapText="1"/>
    </xf>
    <xf numFmtId="165" fontId="14" fillId="2" borderId="1" applyAlignment="1" pivotButton="0" quotePrefix="0" xfId="0">
      <alignment horizontal="left" vertical="center"/>
    </xf>
    <xf numFmtId="164" fontId="15" fillId="0" borderId="1" applyAlignment="1" pivotButton="0" quotePrefix="0" xfId="0">
      <alignment horizontal="left" vertical="center"/>
    </xf>
    <xf numFmtId="164" fontId="15" fillId="0" borderId="1" applyAlignment="1" pivotButton="0" quotePrefix="0" xfId="0">
      <alignment horizontal="left" vertical="center" wrapText="1"/>
    </xf>
    <xf numFmtId="164" fontId="16" fillId="0" borderId="1" applyAlignment="1" pivotButton="0" quotePrefix="0" xfId="0">
      <alignment horizontal="left" vertical="center"/>
    </xf>
    <xf numFmtId="164" fontId="13" fillId="0" borderId="1" applyAlignment="1" pivotButton="0" quotePrefix="0" xfId="0">
      <alignment horizontal="left" vertical="center"/>
    </xf>
    <xf numFmtId="0" fontId="8" fillId="7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8" fillId="8" borderId="2" applyAlignment="1" pivotButton="0" quotePrefix="0" xfId="0">
      <alignment horizontal="center" vertical="center"/>
    </xf>
    <xf numFmtId="31" fontId="6" fillId="8" borderId="1" applyAlignment="1" pivotButton="0" quotePrefix="0" xfId="0">
      <alignment horizontal="center" vertical="center"/>
    </xf>
    <xf numFmtId="0" fontId="0" fillId="0" borderId="8" pivotButton="0" quotePrefix="0" xfId="0"/>
    <xf numFmtId="0" fontId="0" fillId="0" borderId="9" pivotButton="0" quotePrefix="0" xfId="0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9">
    <dxf>
      <font/>
      <fill>
        <patternFill patternType="solid">
          <fgColor indexed="10"/>
          <bgColor indexed="22"/>
        </patternFill>
      </fill>
    </dxf>
    <dxf>
      <font/>
      <fill>
        <patternFill patternType="solid">
          <fgColor indexed="10"/>
          <bgColor indexed="2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luo'bao'bao</author>
  </authors>
  <commentList>
    <comment ref="E4" authorId="0" shapeId="0">
      <text>
        <t>原来是13500元薪资
2025年5月起涨1500元，
现在工资15000元</t>
      </text>
    </comment>
    <comment ref="E8" authorId="0" shapeId="0">
      <text>
        <t>原来工资17500元
2025年5月起涨薪2000元
目前薪资21000</t>
      </text>
    </comment>
    <comment ref="E10" authorId="0" shapeId="0">
      <text>
        <t xml:space="preserve">原来工资15300元
2025年5月起涨薪1700元
目前薪资17000
</t>
      </text>
    </comment>
    <comment ref="E14" authorId="0" shapeId="0">
      <text>
        <t>原来工资19000元
2025年5月起涨薪1500元
目前薪资20500</t>
      </text>
    </comment>
    <comment ref="E15" authorId="0" shapeId="0">
      <text>
        <t>原来工资16000元
2025年5月起涨薪1800元
目前薪资17800</t>
      </text>
    </comment>
    <comment ref="E16" authorId="0" shapeId="0">
      <text>
        <t>原来工资16500元
2025年5月起涨薪1500元
目前薪资18000</t>
      </text>
    </comment>
    <comment ref="E17" authorId="0" shapeId="0">
      <text>
        <t xml:space="preserve">原来工资19000元
2025年5月起涨薪1000元
目前薪资20000
</t>
      </text>
    </comment>
    <comment ref="E20" authorId="0" shapeId="0">
      <text>
        <t>刘建鹤从25年5月起涨薪1000元现工资25000。刘建鹤自2026年5月起涨薪3000元，目前薪资25000+3000=28000</t>
      </text>
    </comment>
    <comment ref="E30" authorId="0" shapeId="0">
      <text>
        <t>原来工资12500元
2025年5月起涨薪2500元
目前薪资15000</t>
      </text>
    </comment>
    <comment ref="E36" authorId="0" shapeId="0">
      <text>
        <t xml:space="preserve">原来工资12000元
2025年5月起涨薪3000元
目前薪资15000
</t>
      </text>
    </comment>
    <comment ref="E140" authorId="0" shapeId="0">
      <text>
        <t>2025/9/10日起涨薪1000元/月留下。</t>
      </text>
    </comment>
  </commentList>
</comments>
</file>

<file path=xl/comments/comment2.xml><?xml version="1.0" encoding="utf-8"?>
<comments xmlns="http://schemas.openxmlformats.org/spreadsheetml/2006/main">
  <authors>
    <author>luo'bao'bao</author>
  </authors>
  <commentList>
    <comment ref="B7" authorId="0" shapeId="0">
      <text>
        <t>陈雪芬
2024.4.1-9.30 目前钱已转汪总银行卡
期间代缴2024.10.1-2024.4.30
接下来会继续上班6个月,费用合计是：21846.12元。
每月五险部分：五险公司部分1110.02+五险个人部分481.87=1591.89元；
每月工资到手：2200-481.87（五险个人部分）=1718.13元；
暂定6个月，合计1591.89*6+1718.13*6=19860.12元。
其他：19860.01×0.1=1986；
合计19860.12+1986=21846.12元。
----2024年9月30日已转汪总银行卡。
陈雪芬：
2025.5.1-7.31日期间
每月五险部分：五险公司部分1205.12+五险个人部分522.3=1727.42元；
每月工资到手：2200-522.3（五险个人部分）=1677.7元；
暂定3个月
五险和工资合计（1727.42+1677.7）*3=10215.36元
其他=500元
一共合计：10215.36+500=10715.36
生育津贴：4月15日到账27266元     
还需转账差额27266-10715.36=16550.64，公司已转16500。</t>
      </text>
    </comment>
    <comment ref="B22" authorId="0" shapeId="0">
      <text>
        <t>1205.12+125+5000=6330.12
秦维芳2025年4月代缴五险一金</t>
      </text>
    </comment>
  </commentList>
</comments>
</file>

<file path=xl/comments/comment3.xml><?xml version="1.0" encoding="utf-8"?>
<comments xmlns="http://schemas.openxmlformats.org/spreadsheetml/2006/main">
  <authors>
    <author>luo'bao'bao</author>
  </authors>
  <commentList>
    <comment ref="K2" authorId="0" shapeId="0">
      <text>
        <t>身份证上有，提前要到身份证，填写上</t>
      </text>
    </comment>
    <comment ref="N2" authorId="0" shapeId="0">
      <text>
        <t xml:space="preserve">材料回寄后再填写
</t>
      </text>
    </comment>
    <comment ref="O2" authorId="0" shapeId="0">
      <text>
        <t>默认中国建设银行</t>
      </text>
    </comment>
    <comment ref="P2" authorId="0" shapeId="0">
      <text>
        <t>可不填</t>
      </text>
    </comment>
    <comment ref="Q2" authorId="0" shapeId="0">
      <text>
        <t>首次缴纳上海五险一金，需要填写，可不管</t>
      </text>
    </comment>
    <comment ref="R2" authorId="0" shapeId="0">
      <text>
        <t xml:space="preserve">不用管。群里文字报备下即可
</t>
      </text>
    </comment>
    <comment ref="K12" authorId="0" shapeId="0">
      <text>
        <t>身份证上有，提前要到身份证，填写上</t>
      </text>
    </comment>
    <comment ref="N12" authorId="0" shapeId="0">
      <text>
        <t xml:space="preserve">材料回寄后再填写
</t>
      </text>
    </comment>
    <comment ref="O12" authorId="0" shapeId="0">
      <text>
        <t>默认中国建设银行</t>
      </text>
    </comment>
    <comment ref="P12" authorId="0" shapeId="0">
      <text>
        <t>可不填</t>
      </text>
    </comment>
    <comment ref="J22" authorId="0" shapeId="0">
      <text>
        <t>身份证上有，提前要到身份证，填写上</t>
      </text>
    </comment>
    <comment ref="M22" authorId="0" shapeId="0">
      <text>
        <t xml:space="preserve">材料回寄后再填写
</t>
      </text>
    </comment>
    <comment ref="N22" authorId="0" shapeId="0">
      <text>
        <t>默认中国建设银行</t>
      </text>
    </comment>
  </commentList>
</comments>
</file>

<file path=xl/comments/comment4.xml><?xml version="1.0" encoding="utf-8"?>
<comments xmlns="http://schemas.openxmlformats.org/spreadsheetml/2006/main">
  <authors>
    <author>luo'bao'bao</author>
  </authors>
  <commentList>
    <comment ref="F2" authorId="0" shapeId="0">
      <text>
        <t>身份证上有，提前要到身份证，填写上</t>
      </text>
    </comment>
    <comment ref="J2" authorId="0" shapeId="0">
      <text>
        <t xml:space="preserve">材料回寄后再填写
</t>
      </text>
    </comment>
    <comment ref="K2" authorId="0" shapeId="0">
      <text>
        <t>默认中国建设银行</t>
      </text>
    </comment>
  </commentList>
</comment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hyperlink" Target="mailto:1471911951@qq.com" TargetMode="External" Id="rId1"/><Relationship Type="http://schemas.openxmlformats.org/officeDocument/2006/relationships/hyperlink" Target="mailto:269386729@qq.com" TargetMode="External" Id="rId2"/><Relationship Type="http://schemas.openxmlformats.org/officeDocument/2006/relationships/hyperlink" Target="mailto:1443945967@qq.com" TargetMode="External" Id="rId3"/><Relationship Type="http://schemas.openxmlformats.org/officeDocument/2006/relationships/hyperlink" Target="mailto:18611090078@163.com" TargetMode="External" Id="rId4"/><Relationship Type="http://schemas.openxmlformats.org/officeDocument/2006/relationships/hyperlink" Target="mailto:1643071083@163.com" TargetMode="External" Id="rId5"/><Relationship Type="http://schemas.openxmlformats.org/officeDocument/2006/relationships/hyperlink" Target="mailto:1933808743@qq.com" TargetMode="External" Id="rId6"/><Relationship Type="http://schemas.openxmlformats.org/officeDocument/2006/relationships/hyperlink" Target="mailto:1207342952@qq.com" TargetMode="External" Id="rId7"/><Relationship Type="http://schemas.openxmlformats.org/officeDocument/2006/relationships/hyperlink" Target="mailto:fangxy_121@163.com" TargetMode="External" Id="rId8"/><Relationship Type="http://schemas.openxmlformats.org/officeDocument/2006/relationships/hyperlink" Target="mailto:55314171@qq.com" TargetMode="External" Id="rId9"/><Relationship Type="http://schemas.openxmlformats.org/officeDocument/2006/relationships/hyperlink" Target="mailto:m17371297307@163.com" TargetMode="External" Id="rId10"/><Relationship Type="http://schemas.openxmlformats.org/officeDocument/2006/relationships/hyperlink" Target="mailto:ljh981109@163.com" TargetMode="External" Id="rId11"/><Relationship Type="http://schemas.openxmlformats.org/officeDocument/2006/relationships/hyperlink" Target="mailto:814202215@qq.com" TargetMode="External" Id="rId12"/><Relationship Type="http://schemas.openxmlformats.org/officeDocument/2006/relationships/hyperlink" Target="mailto:154439155@qq.com" TargetMode="External" Id="rId13"/><Relationship Type="http://schemas.openxmlformats.org/officeDocument/2006/relationships/hyperlink" Target="mailto:w19963981158@163.com" TargetMode="External" Id="rId14"/><Relationship Type="http://schemas.openxmlformats.org/officeDocument/2006/relationships/hyperlink" Target="mailto:lizileiit@163.com" TargetMode="External" Id="rId15"/><Relationship Type="http://schemas.openxmlformats.org/officeDocument/2006/relationships/hyperlink" Target="mailto:liumh564@163.com" TargetMode="External" Id="rId16"/><Relationship Type="http://schemas.openxmlformats.org/officeDocument/2006/relationships/hyperlink" Target="mailto:3114468737@qq.com" TargetMode="External" Id="rId17"/><Relationship Type="http://schemas.openxmlformats.org/officeDocument/2006/relationships/hyperlink" Target="mailto:1248049356@qq.com" TargetMode="External" Id="rId18"/><Relationship Type="http://schemas.openxmlformats.org/officeDocument/2006/relationships/hyperlink" Target="mailto:purpletreecase@163.com" TargetMode="External" Id="rId19"/><Relationship Type="http://schemas.openxmlformats.org/officeDocument/2006/relationships/hyperlink" Target="mailto:449103166@qq.com" TargetMode="External" Id="rId20"/><Relationship Type="http://schemas.openxmlformats.org/officeDocument/2006/relationships/hyperlink" Target="mailto:634214273@qq.com" TargetMode="External" Id="rId21"/><Relationship Type="http://schemas.openxmlformats.org/officeDocument/2006/relationships/hyperlink" Target="mailto:ningmenglei7051@163.com" TargetMode="External" Id="rId22"/><Relationship Type="http://schemas.openxmlformats.org/officeDocument/2006/relationships/hyperlink" Target="mailto:2695348936@qq.com" TargetMode="External" Id="rId23"/><Relationship Type="http://schemas.openxmlformats.org/officeDocument/2006/relationships/hyperlink" Target="mailto:17691586420@163.com" TargetMode="External" Id="rId24"/><Relationship Type="http://schemas.openxmlformats.org/officeDocument/2006/relationships/hyperlink" Target="mailto:415562269@qq.com" TargetMode="External" Id="rId25"/><Relationship Type="http://schemas.openxmlformats.org/officeDocument/2006/relationships/hyperlink" Target="mailto:2420477503@qq.com" TargetMode="External" Id="rId26"/><Relationship Type="http://schemas.openxmlformats.org/officeDocument/2006/relationships/hyperlink" Target="mailto:30114565@qq.com" TargetMode="External" Id="rId27"/><Relationship Type="http://schemas.openxmlformats.org/officeDocument/2006/relationships/hyperlink" Target="mailto:794375239@qq.com" TargetMode="External" Id="rId28"/><Relationship Type="http://schemas.openxmlformats.org/officeDocument/2006/relationships/hyperlink" Target="mailto:ekin_gou@163.com" TargetMode="External" Id="rId29"/><Relationship Type="http://schemas.openxmlformats.org/officeDocument/2006/relationships/hyperlink" Target="mailto:378236615@qq.com" TargetMode="External" Id="rId30"/><Relationship Type="http://schemas.openxmlformats.org/officeDocument/2006/relationships/hyperlink" Target="mailto:1732052404@qq.com" TargetMode="External" Id="rId31"/><Relationship Type="http://schemas.openxmlformats.org/officeDocument/2006/relationships/hyperlink" Target="mailto:781903821@qq.com" TargetMode="External" Id="rId32"/><Relationship Type="http://schemas.openxmlformats.org/officeDocument/2006/relationships/hyperlink" Target="mailto:1126460411@qq.com" TargetMode="External" Id="rId33"/><Relationship Type="http://schemas.openxmlformats.org/officeDocument/2006/relationships/hyperlink" Target="mailto:779990810@qq.com" TargetMode="External" Id="rId34"/><Relationship Type="http://schemas.openxmlformats.org/officeDocument/2006/relationships/hyperlink" Target="mailto:624938462@qq.com" TargetMode="External" Id="rId35"/><Relationship Type="http://schemas.openxmlformats.org/officeDocument/2006/relationships/hyperlink" Target="mailto:18234936942@163.com" TargetMode="External" Id="rId36"/><Relationship Type="http://schemas.openxmlformats.org/officeDocument/2006/relationships/hyperlink" Target="mailto:1436006750@qq.com" TargetMode="External" Id="rId37"/><Relationship Type="http://schemas.openxmlformats.org/officeDocument/2006/relationships/hyperlink" Target="mailto:931376221@qq.com" TargetMode="External" Id="rId38"/><Relationship Type="http://schemas.openxmlformats.org/officeDocument/2006/relationships/hyperlink" Target="mailto:2632243167@qq.com" TargetMode="External" Id="rId39"/><Relationship Type="http://schemas.openxmlformats.org/officeDocument/2006/relationships/hyperlink" Target="mailto:1851651404@qq.com" TargetMode="External" Id="rId40"/><Relationship Type="http://schemas.openxmlformats.org/officeDocument/2006/relationships/hyperlink" Target="mailto:2924572725@qq.com" TargetMode="External" Id="rId41"/><Relationship Type="http://schemas.openxmlformats.org/officeDocument/2006/relationships/hyperlink" Target="mailto:chance.wei@foxmail.com" TargetMode="External" Id="rId42"/><Relationship Type="http://schemas.openxmlformats.org/officeDocument/2006/relationships/hyperlink" Target="mailto:smalldy@foxmail.com" TargetMode="External" Id="rId43"/><Relationship Type="http://schemas.openxmlformats.org/officeDocument/2006/relationships/hyperlink" Target="mailto:549446139@qq.com" TargetMode="External" Id="rId44"/><Relationship Type="http://schemas.openxmlformats.org/officeDocument/2006/relationships/hyperlink" Target="mailto:y845898448@163.com" TargetMode="External" Id="rId45"/><Relationship Type="http://schemas.openxmlformats.org/officeDocument/2006/relationships/hyperlink" Target="mailto:1981694007@qq.com" TargetMode="External" Id="rId46"/><Relationship Type="http://schemas.openxmlformats.org/officeDocument/2006/relationships/hyperlink" Target="mailto:2247197763@qq.com" TargetMode="External" Id="rId47"/><Relationship Type="http://schemas.openxmlformats.org/officeDocument/2006/relationships/hyperlink" Target="mailto:619944431@qq.com" TargetMode="External" Id="rId48"/><Relationship Type="http://schemas.openxmlformats.org/officeDocument/2006/relationships/hyperlink" Target="mailto:375029355@qq.com" TargetMode="External" Id="rId49"/><Relationship Type="http://schemas.openxmlformats.org/officeDocument/2006/relationships/hyperlink" Target="mailto:2718466302@qq.com" TargetMode="External" Id="rId50"/><Relationship Type="http://schemas.openxmlformats.org/officeDocument/2006/relationships/hyperlink" Target="mailto:15899783712@163.com" TargetMode="External" Id="rId51"/><Relationship Type="http://schemas.openxmlformats.org/officeDocument/2006/relationships/hyperlink" Target="mailto:2229243860@qq.com" TargetMode="External" Id="rId52"/><Relationship Type="http://schemas.openxmlformats.org/officeDocument/2006/relationships/hyperlink" Target="mailto:13721833275@163.com" TargetMode="External" Id="rId53"/><Relationship Type="http://schemas.openxmlformats.org/officeDocument/2006/relationships/hyperlink" Target="mailto:981710965@qq.com" TargetMode="External" Id="rId54"/><Relationship Type="http://schemas.openxmlformats.org/officeDocument/2006/relationships/hyperlink" Target="mailto:709358843@qq.com" TargetMode="External" Id="rId55"/><Relationship Type="http://schemas.openxmlformats.org/officeDocument/2006/relationships/hyperlink" Target="mailto:675805481@qq.com" TargetMode="External" Id="rId56"/><Relationship Type="http://schemas.openxmlformats.org/officeDocument/2006/relationships/hyperlink" Target="mailto:960980268@qq.com" TargetMode="External" Id="rId57"/><Relationship Type="http://schemas.openxmlformats.org/officeDocument/2006/relationships/hyperlink" Target="mailto:breathe1103@163.com" TargetMode="External" Id="rId58"/><Relationship Type="http://schemas.openxmlformats.org/officeDocument/2006/relationships/hyperlink" Target="mailto:1528823669@qq.com" TargetMode="External" Id="rId59"/><Relationship Type="http://schemas.openxmlformats.org/officeDocument/2006/relationships/hyperlink" Target="mailto:17629858525@163.com" TargetMode="External" Id="rId60"/><Relationship Type="http://schemas.openxmlformats.org/officeDocument/2006/relationships/hyperlink" Target="mailto:18043583776@163.com" TargetMode="External" Id="rId61"/><Relationship Type="http://schemas.openxmlformats.org/officeDocument/2006/relationships/hyperlink" Target="mailto:dashengbrother@163.com" TargetMode="External" Id="rId62"/><Relationship Type="http://schemas.openxmlformats.org/officeDocument/2006/relationships/hyperlink" Target="mailto:13761036752@163.com" TargetMode="External" Id="rId63"/><Relationship Type="http://schemas.openxmlformats.org/officeDocument/2006/relationships/hyperlink" Target="mailto:wyj2515302571@163.com" TargetMode="External" Id="rId64"/><Relationship Type="http://schemas.openxmlformats.org/officeDocument/2006/relationships/hyperlink" Target="mailto:1178469274@qq.com" TargetMode="External" Id="rId65"/><Relationship Type="http://schemas.openxmlformats.org/officeDocument/2006/relationships/hyperlink" Target="mailto:516780019@qq.com" TargetMode="External" Id="rId66"/><Relationship Type="http://schemas.openxmlformats.org/officeDocument/2006/relationships/hyperlink" Target="mailto:2650292643@qq.com" TargetMode="External" Id="rId67"/><Relationship Type="http://schemas.openxmlformats.org/officeDocument/2006/relationships/hyperlink" Target="mailto:929860566@qq.com" TargetMode="External" Id="rId68"/><Relationship Type="http://schemas.openxmlformats.org/officeDocument/2006/relationships/hyperlink" Target="mailto:13774201965@163.com" TargetMode="External" Id="rId69"/><Relationship Type="http://schemas.openxmlformats.org/officeDocument/2006/relationships/hyperlink" Target="mailto:425059934@qq.com" TargetMode="External" Id="rId70"/><Relationship Type="http://schemas.openxmlformats.org/officeDocument/2006/relationships/hyperlink" Target="mailto:1729267584@qq.com" TargetMode="External" Id="rId71"/><Relationship Type="http://schemas.openxmlformats.org/officeDocument/2006/relationships/hyperlink" Target="mailto:669223903@qq.com" TargetMode="External" Id="rId72"/><Relationship Type="http://schemas.openxmlformats.org/officeDocument/2006/relationships/hyperlink" Target="mailto:lishuai199611@qq.com" TargetMode="External" Id="rId73"/><Relationship Type="http://schemas.openxmlformats.org/officeDocument/2006/relationships/hyperlink" Target="mailto:com2454162906@163.com" TargetMode="External" Id="rId74"/><Relationship Type="http://schemas.openxmlformats.org/officeDocument/2006/relationships/hyperlink" Target="mailto:1837178738@qq.com" TargetMode="External" Id="rId75"/><Relationship Type="http://schemas.openxmlformats.org/officeDocument/2006/relationships/hyperlink" Target="mailto:369262031@qq.com" TargetMode="External" Id="rId76"/><Relationship Type="http://schemas.openxmlformats.org/officeDocument/2006/relationships/hyperlink" Target="mailto:342546038@qq.com" TargetMode="External" Id="rId77"/><Relationship Type="http://schemas.openxmlformats.org/officeDocument/2006/relationships/hyperlink" Target="mailto:601046124@qq.com" TargetMode="External" Id="rId78"/><Relationship Type="http://schemas.openxmlformats.org/officeDocument/2006/relationships/hyperlink" Target="mailto:822025589@qq.com" TargetMode="External" Id="rId79"/><Relationship Type="http://schemas.openxmlformats.org/officeDocument/2006/relationships/hyperlink" Target="mailto:474752621@qq.com" TargetMode="External" Id="rId80"/><Relationship Type="http://schemas.openxmlformats.org/officeDocument/2006/relationships/hyperlink" Target="mailto:119196665@qq.com" TargetMode="External" Id="rId81"/><Relationship Type="http://schemas.openxmlformats.org/officeDocument/2006/relationships/hyperlink" Target="mailto:1501566584@qq.com" TargetMode="External" Id="rId82"/><Relationship Type="http://schemas.openxmlformats.org/officeDocument/2006/relationships/hyperlink" Target="mailto:2244967879@qq.com" TargetMode="External" Id="rId83"/><Relationship Type="http://schemas.openxmlformats.org/officeDocument/2006/relationships/hyperlink" Target="mailto:1641785380@qq.com" TargetMode="External" Id="rId84"/><Relationship Type="http://schemas.openxmlformats.org/officeDocument/2006/relationships/hyperlink" Target="mailto:1079584878@qq.com" TargetMode="External" Id="rId85"/><Relationship Type="http://schemas.openxmlformats.org/officeDocument/2006/relationships/hyperlink" Target="mailto:2775203997@qq.com" TargetMode="External" Id="rId86"/><Relationship Type="http://schemas.openxmlformats.org/officeDocument/2006/relationships/hyperlink" Target="mailto:773802540@qq.com" TargetMode="External" Id="rId87"/><Relationship Type="http://schemas.openxmlformats.org/officeDocument/2006/relationships/hyperlink" Target="mailto:1601441012@qq.com" TargetMode="External" Id="rId88"/><Relationship Type="http://schemas.openxmlformats.org/officeDocument/2006/relationships/hyperlink" Target="mailto:1848525275@qq.com" TargetMode="External" Id="rId89"/><Relationship Type="http://schemas.openxmlformats.org/officeDocument/2006/relationships/hyperlink" Target="mailto:2930373702@qq.com" TargetMode="External" Id="rId90"/><Relationship Type="http://schemas.openxmlformats.org/officeDocument/2006/relationships/hyperlink" Target="mailto:1123020772@qq.com" TargetMode="External" Id="rId91"/><Relationship Type="http://schemas.openxmlformats.org/officeDocument/2006/relationships/hyperlink" Target="mailto:h18336639656@163.com" TargetMode="External" Id="rId92"/><Relationship Type="http://schemas.openxmlformats.org/officeDocument/2006/relationships/hyperlink" Target="mailto:st13703220047@163.com" TargetMode="External" Id="rId93"/><Relationship Type="http://schemas.openxmlformats.org/officeDocument/2006/relationships/hyperlink" Target="mailto:1301531437@qq.com" TargetMode="External" Id="rId94"/><Relationship Type="http://schemas.openxmlformats.org/officeDocument/2006/relationships/hyperlink" Target="mailto:sjz1658902424@163.com" TargetMode="External" Id="rId95"/><Relationship Type="http://schemas.openxmlformats.org/officeDocument/2006/relationships/hyperlink" Target="mailto:736052331@qq.com" TargetMode="External" Id="rId96"/><Relationship Type="http://schemas.openxmlformats.org/officeDocument/2006/relationships/hyperlink" Target="mailto:1539347374@qq.com" TargetMode="External" Id="rId97"/><Relationship Type="http://schemas.openxmlformats.org/officeDocument/2006/relationships/hyperlink" Target="mailto:1809159770@qq.com" TargetMode="External" Id="rId98"/><Relationship Type="http://schemas.openxmlformats.org/officeDocument/2006/relationships/hyperlink" Target="mailto:16619923591@163.com" TargetMode="External" Id="rId99"/><Relationship Type="http://schemas.openxmlformats.org/officeDocument/2006/relationships/hyperlink" Target="mailto:c17613715525@163.com" TargetMode="External" Id="rId100"/><Relationship Type="http://schemas.openxmlformats.org/officeDocument/2006/relationships/hyperlink" Target="mailto:2644514826@qq.com" TargetMode="External" Id="rId101"/><Relationship Type="http://schemas.openxmlformats.org/officeDocument/2006/relationships/hyperlink" Target="mailto:3112664502@qq.com" TargetMode="External" Id="rId102"/><Relationship Type="http://schemas.openxmlformats.org/officeDocument/2006/relationships/hyperlink" Target="mailto:18625742481@163.com" TargetMode="External" Id="rId103"/><Relationship Type="http://schemas.openxmlformats.org/officeDocument/2006/relationships/hyperlink" Target="mailto:2403047309@qq.com" TargetMode="External" Id="rId104"/><Relationship Type="http://schemas.openxmlformats.org/officeDocument/2006/relationships/hyperlink" Target="mailto:1252615577@qq.com" TargetMode="External" Id="rId105"/><Relationship Type="http://schemas.openxmlformats.org/officeDocument/2006/relationships/hyperlink" Target="mailto:huangzeruijack@163.com" TargetMode="External" Id="rId106"/><Relationship Type="http://schemas.openxmlformats.org/officeDocument/2006/relationships/hyperlink" Target="mailto:2550374283@qq.com" TargetMode="External" Id="rId107"/><Relationship Type="http://schemas.openxmlformats.org/officeDocument/2006/relationships/hyperlink" Target="mailto:15618658301@163.com" TargetMode="External" Id="rId108"/><Relationship Type="http://schemas.openxmlformats.org/officeDocument/2006/relationships/hyperlink" Target="mailto:1601417352@qq.com" TargetMode="External" Id="rId109"/><Relationship Type="http://schemas.openxmlformats.org/officeDocument/2006/relationships/hyperlink" Target="mailto:178884773@qq.com" TargetMode="External" Id="rId110"/><Relationship Type="http://schemas.openxmlformats.org/officeDocument/2006/relationships/hyperlink" Target="mailto:13933018365@163.com" TargetMode="External" Id="rId111"/><Relationship Type="http://schemas.openxmlformats.org/officeDocument/2006/relationships/hyperlink" Target="mailto:308160659@qq.com" TargetMode="External" Id="rId112"/><Relationship Type="http://schemas.openxmlformats.org/officeDocument/2006/relationships/hyperlink" Target="mailto:274662093@qq.com" TargetMode="External" Id="rId113"/><Relationship Type="http://schemas.openxmlformats.org/officeDocument/2006/relationships/hyperlink" Target="mailto:719587303@qq.com%0a" TargetMode="External" Id="rId114"/><Relationship Type="http://schemas.openxmlformats.org/officeDocument/2006/relationships/hyperlink" Target="mailto:1461860981@qq.com" TargetMode="External" Id="rId115"/><Relationship Type="http://schemas.openxmlformats.org/officeDocument/2006/relationships/hyperlink" Target="mailto:five3@163.com" TargetMode="External" Id="rId116"/><Relationship Type="http://schemas.openxmlformats.org/officeDocument/2006/relationships/hyperlink" Target="mailto:2764254334@qq.com" TargetMode="External" Id="rId117"/><Relationship Type="http://schemas.openxmlformats.org/officeDocument/2006/relationships/hyperlink" Target="mailto:1784100544@qq.com" TargetMode="External" Id="rId118"/><Relationship Type="http://schemas.openxmlformats.org/officeDocument/2006/relationships/hyperlink" Target="mailto:185922280@qq.com" TargetMode="External" Id="rId119"/><Relationship Type="http://schemas.openxmlformats.org/officeDocument/2006/relationships/hyperlink" Target="mailto:daiyichao441704@163.com" TargetMode="External" Id="rId120"/><Relationship Type="http://schemas.openxmlformats.org/officeDocument/2006/relationships/hyperlink" Target="mailto:1325626555@qq.com" TargetMode="External" Id="rId121"/><Relationship Type="http://schemas.openxmlformats.org/officeDocument/2006/relationships/hyperlink" Target="mailto:2998301660@qq.com" TargetMode="External" Id="rId122"/><Relationship Type="http://schemas.openxmlformats.org/officeDocument/2006/relationships/hyperlink" Target="mailto:benkang.cao@foxmail.com" TargetMode="External" Id="rId123"/><Relationship Type="http://schemas.openxmlformats.org/officeDocument/2006/relationships/hyperlink" Target="mailto:2481691777@qq.com" TargetMode="External" Id="rId124"/><Relationship Type="http://schemas.openxmlformats.org/officeDocument/2006/relationships/hyperlink" Target="mailto:386789766@qq.com" TargetMode="External" Id="rId125"/><Relationship Type="http://schemas.openxmlformats.org/officeDocument/2006/relationships/hyperlink" Target="mailto:957357932@qq.com" TargetMode="External" Id="rId126"/><Relationship Type="http://schemas.openxmlformats.org/officeDocument/2006/relationships/hyperlink" Target="mailto:BWY888@foxmail.com" TargetMode="External" Id="rId127"/><Relationship Type="http://schemas.openxmlformats.org/officeDocument/2006/relationships/hyperlink" Target="mailto:2497508270@qq.com" TargetMode="External" Id="rId128"/><Relationship Type="http://schemas.openxmlformats.org/officeDocument/2006/relationships/hyperlink" Target="mailto:15830994199@163.com" TargetMode="External" Id="rId129"/><Relationship Type="http://schemas.openxmlformats.org/officeDocument/2006/relationships/hyperlink" Target="mailto:3068268413@qq.com" TargetMode="External" Id="rId130"/><Relationship Type="http://schemas.openxmlformats.org/officeDocument/2006/relationships/hyperlink" Target="mailto:869833314@qq.com" TargetMode="External" Id="rId131"/><Relationship Type="http://schemas.openxmlformats.org/officeDocument/2006/relationships/hyperlink" Target="mailto:1091089589@qq.com" TargetMode="External" Id="rId132"/><Relationship Type="http://schemas.openxmlformats.org/officeDocument/2006/relationships/hyperlink" Target="mailto:2216296349@qq.com" TargetMode="External" Id="rId133"/><Relationship Type="http://schemas.openxmlformats.org/officeDocument/2006/relationships/hyperlink" Target="mailto:2354864803@qq.com" TargetMode="External" Id="rId134"/><Relationship Type="http://schemas.openxmlformats.org/officeDocument/2006/relationships/hyperlink" Target="mailto:kSW0211@163.com" TargetMode="External" Id="rId135"/><Relationship Type="http://schemas.openxmlformats.org/officeDocument/2006/relationships/hyperlink" Target="mailto:2362400293@qq.com" TargetMode="External" Id="rId136"/><Relationship Type="http://schemas.openxmlformats.org/officeDocument/2006/relationships/hyperlink" Target="mailto:wangliu_sheng@163.com" TargetMode="External" Id="rId137"/><Relationship Type="http://schemas.openxmlformats.org/officeDocument/2006/relationships/hyperlink" Target="mailto:895597171@qq.com" TargetMode="External" Id="rId138"/><Relationship Type="http://schemas.openxmlformats.org/officeDocument/2006/relationships/hyperlink" Target="mailto:17702248964@163.com" TargetMode="External" Id="rId139"/><Relationship Type="http://schemas.openxmlformats.org/officeDocument/2006/relationships/hyperlink" Target="mailto:wz2065858722@163.com%0a" TargetMode="External" Id="rId140"/><Relationship Type="http://schemas.openxmlformats.org/officeDocument/2006/relationships/hyperlink" Target="mailto:1092281350@qq." TargetMode="External" Id="rId141"/><Relationship Type="http://schemas.openxmlformats.org/officeDocument/2006/relationships/hyperlink" Target="mailto:1320436763@qq.com%0a" TargetMode="External" Id="rId142"/><Relationship Type="http://schemas.openxmlformats.org/officeDocument/2006/relationships/hyperlink" Target="mailto:897516559@qq.com" TargetMode="External" Id="rId143"/><Relationship Type="http://schemas.openxmlformats.org/officeDocument/2006/relationships/hyperlink" Target="mailto:2453555409@qq.com" TargetMode="External" Id="rId144"/><Relationship Type="http://schemas.openxmlformats.org/officeDocument/2006/relationships/hyperlink" Target="mailto:W19565310725@163.com" TargetMode="External" Id="rId145"/><Relationship Type="http://schemas.openxmlformats.org/officeDocument/2006/relationships/hyperlink" Target="mailto:1710392025@qq.com" TargetMode="External" Id="rId146"/><Relationship Type="http://schemas.openxmlformats.org/officeDocument/2006/relationships/hyperlink" Target="mailto:2367531592@qq.com" TargetMode="External" Id="rId147"/><Relationship Type="http://schemas.openxmlformats.org/officeDocument/2006/relationships/hyperlink" Target="mailto:Wanghengru97@163.com" TargetMode="External" Id="rId148"/><Relationship Type="http://schemas.openxmlformats.org/officeDocument/2006/relationships/hyperlink" Target="mailto:1514199864@qq.com" TargetMode="External" Id="rId149"/><Relationship Type="http://schemas.openxmlformats.org/officeDocument/2006/relationships/hyperlink" Target="mailto:zl13234089814@163.com" TargetMode="External" Id="rId150"/><Relationship Type="http://schemas.openxmlformats.org/officeDocument/2006/relationships/hyperlink" Target="mailto:altliu0113@163.com" TargetMode="External" Id="rId151"/><Relationship Type="http://schemas.openxmlformats.org/officeDocument/2006/relationships/hyperlink" Target="mailto:15324488069@163.com" TargetMode="External" Id="rId152"/><Relationship Type="http://schemas.openxmlformats.org/officeDocument/2006/relationships/hyperlink" Target="mailto:2501844046@qq.com" TargetMode="External" Id="rId153"/><Relationship Type="http://schemas.openxmlformats.org/officeDocument/2006/relationships/hyperlink" Target="mailto:yueliang200024@gmail.com" TargetMode="External" Id="rId154"/><Relationship Type="http://schemas.openxmlformats.org/officeDocument/2006/relationships/hyperlink" Target="mailto:2431222864@qq.com" TargetMode="External" Id="rId155"/><Relationship Type="http://schemas.openxmlformats.org/officeDocument/2006/relationships/hyperlink" Target="mailto:13462974705@163.com" TargetMode="External" Id="rId156"/><Relationship Type="http://schemas.openxmlformats.org/officeDocument/2006/relationships/hyperlink" Target="mailto:isbaweiya@163.com" TargetMode="External" Id="rId157"/><Relationship Type="http://schemas.openxmlformats.org/officeDocument/2006/relationships/hyperlink" Target="mailto:1175706540@qq.com" TargetMode="External" Id="rId158"/><Relationship Type="http://schemas.openxmlformats.org/officeDocument/2006/relationships/hyperlink" Target="mailto:2514935321@qq.com" TargetMode="External" Id="rId159"/><Relationship Type="http://schemas.openxmlformats.org/officeDocument/2006/relationships/hyperlink" Target="mailto:1049609571@qq.com" TargetMode="External" Id="rId160"/><Relationship Type="http://schemas.openxmlformats.org/officeDocument/2006/relationships/hyperlink" Target="mailto:2119610868@qq.com" TargetMode="External" Id="rId16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hyperlink" Target="mailto:670952083@qq.com" TargetMode="External" Id="rId1"/><Relationship Type="http://schemas.openxmlformats.org/officeDocument/2006/relationships/hyperlink" Target="mailto:1170469459@qq.com" TargetMode="External" Id="rId2"/><Relationship Type="http://schemas.openxmlformats.org/officeDocument/2006/relationships/hyperlink" Target="mailto:1713084282@qq.com" TargetMode="External" Id="rId3"/><Relationship Type="http://schemas.openxmlformats.org/officeDocument/2006/relationships/hyperlink" Target="mailto:1037388670@qq.com" TargetMode="External" Id="rId4"/><Relationship Type="http://schemas.openxmlformats.org/officeDocument/2006/relationships/hyperlink" Target="mailto:2358336330@qq.com" TargetMode="External" Id="rId5"/><Relationship Type="http://schemas.openxmlformats.org/officeDocument/2006/relationships/hyperlink" Target="mailto:842841666@qq.com" TargetMode="External" Id="rId6"/><Relationship Type="http://schemas.openxmlformats.org/officeDocument/2006/relationships/hyperlink" Target="mailto:1279415685@qq.com" TargetMode="External" Id="rId7"/><Relationship Type="http://schemas.openxmlformats.org/officeDocument/2006/relationships/hyperlink" Target="mailto:411582961@qq.com" TargetMode="External" Id="rId8"/><Relationship Type="http://schemas.openxmlformats.org/officeDocument/2006/relationships/hyperlink" Target="mailto:2224847124@qq.com" TargetMode="External" Id="rId9"/><Relationship Type="http://schemas.openxmlformats.org/officeDocument/2006/relationships/hyperlink" Target="mailto:1004559023@qq.com" TargetMode="External" Id="rId10"/><Relationship Type="http://schemas.openxmlformats.org/officeDocument/2006/relationships/hyperlink" Target="mailto:1668919413@qq.com" TargetMode="External" Id="rId11"/><Relationship Type="http://schemas.openxmlformats.org/officeDocument/2006/relationships/hyperlink" Target="mailto:3215223483@qq.com" TargetMode="External" Id="rId12"/><Relationship Type="http://schemas.openxmlformats.org/officeDocument/2006/relationships/hyperlink" Target="mailto:hebeizhuojiu@163.com" TargetMode="External" Id="rId13"/><Relationship Type="http://schemas.openxmlformats.org/officeDocument/2006/relationships/hyperlink" Target="mailto:928207099@qq.com" TargetMode="External" Id="rId14"/><Relationship Type="http://schemas.openxmlformats.org/officeDocument/2006/relationships/hyperlink" Target="mailto:2601733655@qq.com" TargetMode="External" Id="rId15"/><Relationship Type="http://schemas.openxmlformats.org/officeDocument/2006/relationships/hyperlink" Target="mailto:2718287284@qq.com" TargetMode="External" Id="rId16"/><Relationship Type="http://schemas.openxmlformats.org/officeDocument/2006/relationships/hyperlink" Target="mailto:1653228502@qq.com" TargetMode="External" Id="rId17"/><Relationship Type="http://schemas.openxmlformats.org/officeDocument/2006/relationships/hyperlink" Target="mailto:1851651404@qq.com" TargetMode="External" Id="rId18"/><Relationship Type="http://schemas.openxmlformats.org/officeDocument/2006/relationships/hyperlink" Target="mailto:1562497694@qq.com" TargetMode="External" Id="rId19"/><Relationship Type="http://schemas.openxmlformats.org/officeDocument/2006/relationships/hyperlink" Target="mailto:10575229722@qq.com" TargetMode="External" Id="rId20"/><Relationship Type="http://schemas.openxmlformats.org/officeDocument/2006/relationships/hyperlink" Target="mailto:451486266@qq.com" TargetMode="External" Id="rId21"/><Relationship Type="http://schemas.openxmlformats.org/officeDocument/2006/relationships/hyperlink" Target="mailto:2284664380@qq.com" TargetMode="External" Id="rId22"/><Relationship Type="http://schemas.openxmlformats.org/officeDocument/2006/relationships/hyperlink" Target="mailto:1471911951@qq.com" TargetMode="External" Id="rId23"/><Relationship Type="http://schemas.openxmlformats.org/officeDocument/2006/relationships/hyperlink" Target="mailto:269386729@qq.com" TargetMode="External" Id="rId24"/><Relationship Type="http://schemas.openxmlformats.org/officeDocument/2006/relationships/hyperlink" Target="mailto:lct17610871620@163.com" TargetMode="External" Id="rId25"/><Relationship Type="http://schemas.openxmlformats.org/officeDocument/2006/relationships/hyperlink" Target="mailto:694728662@qq.com" TargetMode="External" Id="rId26"/><Relationship Type="http://schemas.openxmlformats.org/officeDocument/2006/relationships/hyperlink" Target="mailto:cairuizhang02@163.com" TargetMode="External" Id="rId27"/><Relationship Type="http://schemas.openxmlformats.org/officeDocument/2006/relationships/hyperlink" Target="mailto:1663601726@qq.com" TargetMode="External" Id="rId28"/><Relationship Type="http://schemas.openxmlformats.org/officeDocument/2006/relationships/hyperlink" Target="mailto:249615584@qq.com" TargetMode="External" Id="rId29"/><Relationship Type="http://schemas.openxmlformats.org/officeDocument/2006/relationships/hyperlink" Target="mailto:zizhengxu@foxmail.com" TargetMode="External" Id="rId30"/><Relationship Type="http://schemas.openxmlformats.org/officeDocument/2006/relationships/hyperlink" Target="mailto:742593066@qq.com" TargetMode="External" Id="rId31"/><Relationship Type="http://schemas.openxmlformats.org/officeDocument/2006/relationships/hyperlink" Target="mailto:Smoonslee@163.com" TargetMode="External" Id="rId32"/><Relationship Type="http://schemas.openxmlformats.org/officeDocument/2006/relationships/hyperlink" Target="mailto:879650201@qq.com" TargetMode="External" Id="rId33"/><Relationship Type="http://schemas.openxmlformats.org/officeDocument/2006/relationships/hyperlink" Target="mailto:jianfu_wang0608@163.com" TargetMode="External" Id="rId34"/><Relationship Type="http://schemas.openxmlformats.org/officeDocument/2006/relationships/hyperlink" Target="mailto:285901130@qq.com" TargetMode="External" Id="rId35"/><Relationship Type="http://schemas.openxmlformats.org/officeDocument/2006/relationships/hyperlink" Target="mailto:1228378464@qq.com" TargetMode="External" Id="rId36"/><Relationship Type="http://schemas.openxmlformats.org/officeDocument/2006/relationships/hyperlink" Target="mailto:1149081863@qq.com" TargetMode="External" Id="rId37"/><Relationship Type="http://schemas.openxmlformats.org/officeDocument/2006/relationships/hyperlink" Target="mailto:ligongcheng@yeah.net" TargetMode="External" Id="rId38"/><Relationship Type="http://schemas.openxmlformats.org/officeDocument/2006/relationships/hyperlink" Target="mailto:xiuxiu2293@sina.com" TargetMode="External" Id="rId39"/><Relationship Type="http://schemas.openxmlformats.org/officeDocument/2006/relationships/hyperlink" Target="mailto:1447841876@qq.com" TargetMode="External" Id="rId40"/><Relationship Type="http://schemas.openxmlformats.org/officeDocument/2006/relationships/hyperlink" Target="mailto:406318144@qq.com" TargetMode="External" Id="rId41"/><Relationship Type="http://schemas.openxmlformats.org/officeDocument/2006/relationships/hyperlink" Target="mailto:1060726626@qq.com" TargetMode="External" Id="rId42"/><Relationship Type="http://schemas.openxmlformats.org/officeDocument/2006/relationships/hyperlink" Target="mailto:li.sihong@foxmail.com" TargetMode="External" Id="rId43"/><Relationship Type="http://schemas.openxmlformats.org/officeDocument/2006/relationships/hyperlink" Target="mailto:itsmyown@126.com" TargetMode="External" Id="rId44"/><Relationship Type="http://schemas.openxmlformats.org/officeDocument/2006/relationships/hyperlink" Target="mailto:61716377@qq.com" TargetMode="External" Id="rId45"/><Relationship Type="http://schemas.openxmlformats.org/officeDocument/2006/relationships/hyperlink" Target="mailto:2607640313@qq.com" TargetMode="External" Id="rId46"/><Relationship Type="http://schemas.openxmlformats.org/officeDocument/2006/relationships/hyperlink" Target="mailto:jt12132514@icloud.com" TargetMode="External" Id="rId47"/><Relationship Type="http://schemas.openxmlformats.org/officeDocument/2006/relationships/hyperlink" Target="mailto:2407428749@qq.com" TargetMode="External" Id="rId48"/><Relationship Type="http://schemas.openxmlformats.org/officeDocument/2006/relationships/hyperlink" Target="mailto:1742562359@qq.com" TargetMode="External" Id="rId49"/><Relationship Type="http://schemas.openxmlformats.org/officeDocument/2006/relationships/hyperlink" Target="mailto:908029799@qq.com" TargetMode="External" Id="rId50"/><Relationship Type="http://schemas.openxmlformats.org/officeDocument/2006/relationships/hyperlink" Target="mailto:784766448@qq.com" TargetMode="External" Id="rId51"/><Relationship Type="http://schemas.openxmlformats.org/officeDocument/2006/relationships/hyperlink" Target="mailto:1447984287@qq.com" TargetMode="External" Id="rId52"/><Relationship Type="http://schemas.openxmlformats.org/officeDocument/2006/relationships/hyperlink" Target="mailto:18829070211@163.com" TargetMode="External" Id="rId53"/><Relationship Type="http://schemas.openxmlformats.org/officeDocument/2006/relationships/hyperlink" Target="mailto:739772216@qq.com" TargetMode="External" Id="rId54"/><Relationship Type="http://schemas.openxmlformats.org/officeDocument/2006/relationships/hyperlink" Target="mailto:2766166875@qq.com" TargetMode="External" Id="rId55"/><Relationship Type="http://schemas.openxmlformats.org/officeDocument/2006/relationships/hyperlink" Target="mailto:18512546559@163.com" TargetMode="External" Id="rId56"/><Relationship Type="http://schemas.openxmlformats.org/officeDocument/2006/relationships/hyperlink" Target="mailto:2694540712@qq.com" TargetMode="External" Id="rId57"/><Relationship Type="http://schemas.openxmlformats.org/officeDocument/2006/relationships/hyperlink" Target="mailto:1490785073@qq.com" TargetMode="External" Id="rId58"/><Relationship Type="http://schemas.openxmlformats.org/officeDocument/2006/relationships/hyperlink" Target="mailto:1446719386@qq.com" TargetMode="External" Id="rId59"/><Relationship Type="http://schemas.openxmlformats.org/officeDocument/2006/relationships/hyperlink" Target="mailto:2848047704@qq.com" TargetMode="External" Id="rId60"/><Relationship Type="http://schemas.openxmlformats.org/officeDocument/2006/relationships/hyperlink" Target="mailto:1030171899@qq.com" TargetMode="External" Id="rId61"/><Relationship Type="http://schemas.openxmlformats.org/officeDocument/2006/relationships/hyperlink" Target="mailto:457326457@qq.com" TargetMode="External" Id="rId62"/><Relationship Type="http://schemas.openxmlformats.org/officeDocument/2006/relationships/hyperlink" Target="mailto:854948458@qq.com" TargetMode="External" Id="rId63"/><Relationship Type="http://schemas.openxmlformats.org/officeDocument/2006/relationships/hyperlink" Target="mailto:324186912@qq.com" TargetMode="External" Id="rId64"/><Relationship Type="http://schemas.openxmlformats.org/officeDocument/2006/relationships/hyperlink" Target="mailto:1737239765@qq.com" TargetMode="External" Id="rId65"/><Relationship Type="http://schemas.openxmlformats.org/officeDocument/2006/relationships/hyperlink" Target="mailto:2564941113@qq.com" TargetMode="External" Id="rId66"/><Relationship Type="http://schemas.openxmlformats.org/officeDocument/2006/relationships/hyperlink" Target="mailto:626972012@qq.com" TargetMode="External" Id="rId67"/><Relationship Type="http://schemas.openxmlformats.org/officeDocument/2006/relationships/hyperlink" Target="mailto:2842928569@qq.com" TargetMode="External" Id="rId68"/><Relationship Type="http://schemas.openxmlformats.org/officeDocument/2006/relationships/hyperlink" Target="mailto:acaesar001@qq.com" TargetMode="External" Id="rId69"/><Relationship Type="http://schemas.openxmlformats.org/officeDocument/2006/relationships/hyperlink" Target="mailto:1691022294@qq.com" TargetMode="External" Id="rId70"/><Relationship Type="http://schemas.openxmlformats.org/officeDocument/2006/relationships/hyperlink" Target="mailto:zx229091983@126.com" TargetMode="External" Id="rId71"/><Relationship Type="http://schemas.openxmlformats.org/officeDocument/2006/relationships/hyperlink" Target="mailto:Gutl0814@163.com" TargetMode="External" Id="rId72"/><Relationship Type="http://schemas.openxmlformats.org/officeDocument/2006/relationships/hyperlink" Target="mailto:18855442781@163.com" TargetMode="External" Id="rId73"/><Relationship Type="http://schemas.openxmlformats.org/officeDocument/2006/relationships/hyperlink" Target="mailto:2207916715@qq.com" TargetMode="External" Id="rId74"/><Relationship Type="http://schemas.openxmlformats.org/officeDocument/2006/relationships/hyperlink" Target="mailto:hellowdaming@163.com" TargetMode="External" Id="rId75"/><Relationship Type="http://schemas.openxmlformats.org/officeDocument/2006/relationships/hyperlink" Target="mailto:29540039@qq.com" TargetMode="External" Id="rId76"/><Relationship Type="http://schemas.openxmlformats.org/officeDocument/2006/relationships/hyperlink" Target="mailto:2329810660@qq.com" TargetMode="External" Id="rId77"/><Relationship Type="http://schemas.openxmlformats.org/officeDocument/2006/relationships/hyperlink" Target="mailto:2570561356@qq.com" TargetMode="External" Id="rId78"/><Relationship Type="http://schemas.openxmlformats.org/officeDocument/2006/relationships/hyperlink" Target="mailto:769252864@qq.com" TargetMode="External" Id="rId79"/><Relationship Type="http://schemas.openxmlformats.org/officeDocument/2006/relationships/hyperlink" Target="mailto:luzhaoyu0810@163.com" TargetMode="External" Id="rId80"/><Relationship Type="http://schemas.openxmlformats.org/officeDocument/2006/relationships/hyperlink" Target="mailto:1737116732@qq.com" TargetMode="External" Id="rId81"/><Relationship Type="http://schemas.openxmlformats.org/officeDocument/2006/relationships/hyperlink" Target="mailto:985754223@qq.com" TargetMode="External" Id="rId82"/><Relationship Type="http://schemas.openxmlformats.org/officeDocument/2006/relationships/hyperlink" Target="mailto:1249777686@qq.com" TargetMode="External" Id="rId83"/><Relationship Type="http://schemas.openxmlformats.org/officeDocument/2006/relationships/hyperlink" Target="mailto:603541019@qq.com" TargetMode="External" Id="rId84"/><Relationship Type="http://schemas.openxmlformats.org/officeDocument/2006/relationships/hyperlink" Target="mailto:1359248786@qq.com" TargetMode="External" Id="rId85"/><Relationship Type="http://schemas.openxmlformats.org/officeDocument/2006/relationships/hyperlink" Target="mailto:1102676533@qq.com" TargetMode="External" Id="rId86"/><Relationship Type="http://schemas.openxmlformats.org/officeDocument/2006/relationships/hyperlink" Target="mailto:1097479862@qq.com" TargetMode="External" Id="rId87"/><Relationship Type="http://schemas.openxmlformats.org/officeDocument/2006/relationships/hyperlink" Target="mailto:1793486689@qq.com" TargetMode="External" Id="rId88"/><Relationship Type="http://schemas.openxmlformats.org/officeDocument/2006/relationships/hyperlink" Target="mailto:1411445848@qq.com" TargetMode="External" Id="rId89"/><Relationship Type="http://schemas.openxmlformats.org/officeDocument/2006/relationships/hyperlink" Target="mailto:2849151785@qq.com" TargetMode="External" Id="rId90"/><Relationship Type="http://schemas.openxmlformats.org/officeDocument/2006/relationships/hyperlink" Target="mailto:jakesparo@163.com" TargetMode="External" Id="rId9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mailto:dsk18331976035@163.com" TargetMode="External" Id="rId1"/><Relationship Type="http://schemas.openxmlformats.org/officeDocument/2006/relationships/hyperlink" Target="mailto:2987766586@qq.com" TargetMode="External" Id="rId2"/><Relationship Type="http://schemas.openxmlformats.org/officeDocument/2006/relationships/hyperlink" Target="mailto:194924807@qq.com" TargetMode="External" Id="rId3"/><Relationship Type="http://schemas.openxmlformats.org/officeDocument/2006/relationships/hyperlink" Target="mailto:n13241139222@163.com" TargetMode="External" Id="rId4"/><Relationship Type="http://schemas.openxmlformats.org/officeDocument/2006/relationships/hyperlink" Target="mailto:spacex12@126.com" TargetMode="External" Id="rId5"/><Relationship Type="http://schemas.openxmlformats.org/officeDocument/2006/relationships/hyperlink" Target="mailto:372601669@qq.com" TargetMode="External" Id="rId6"/><Relationship Type="http://schemas.openxmlformats.org/officeDocument/2006/relationships/hyperlink" Target="mailto:xcw5321@163.com%0a" TargetMode="External" Id="rId7"/><Relationship Type="http://schemas.openxmlformats.org/officeDocument/2006/relationships/hyperlink" Target="mailto:19653007601@163.com" TargetMode="External" Id="rId8"/></Relationships>
</file>

<file path=xl/worksheets/_rels/sheet6.xml.rels><Relationships xmlns="http://schemas.openxmlformats.org/package/2006/relationships"><Relationship Type="http://schemas.openxmlformats.org/officeDocument/2006/relationships/hyperlink" Target="mailto:1456284139@qq.com" TargetMode="External" Id="rId1"/><Relationship Type="http://schemas.openxmlformats.org/officeDocument/2006/relationships/hyperlink" Target="mailto:1253451363@qq.com" TargetMode="External" Id="rId2"/><Relationship Type="http://schemas.openxmlformats.org/officeDocument/2006/relationships/hyperlink" Target="mailto:1456284139@qq.com" TargetMode="External" Id="rId3"/><Relationship Type="http://schemas.openxmlformats.org/officeDocument/2006/relationships/hyperlink" Target="mailto:1253451363@qq.com" TargetMode="External" Id="rId4"/><Relationship Type="http://schemas.openxmlformats.org/officeDocument/2006/relationships/hyperlink" Target="mailto:378409318@qq.com" TargetMode="External" Id="rId5"/><Relationship Type="http://schemas.openxmlformats.org/officeDocument/2006/relationships/hyperlink" Target="mailto:619430773@qq.com" TargetMode="External" Id="rId6"/><Relationship Type="http://schemas.openxmlformats.org/officeDocument/2006/relationships/hyperlink" Target="mailto:630737357@qq.com" TargetMode="External" Id="rId7"/><Relationship Type="http://schemas.openxmlformats.org/officeDocument/2006/relationships/hyperlink" Target="mailto:jsnjsw@aliyun.com" TargetMode="External" Id="rId8"/><Relationship Type="http://schemas.openxmlformats.org/officeDocument/2006/relationships/hyperlink" Target="mailto:1027599689@qq.com" TargetMode="External" Id="rId9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7.xml.rels><Relationships xmlns="http://schemas.openxmlformats.org/package/2006/relationships"><Relationship Type="http://schemas.openxmlformats.org/officeDocument/2006/relationships/hyperlink" Target="mailto:1253451363@qq.com" TargetMode="External" Id="rId1"/><Relationship Type="http://schemas.openxmlformats.org/officeDocument/2006/relationships/hyperlink" Target="mailto:1027599689@qq.com" TargetMode="External" Id="rId2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CP267"/>
  <sheetViews>
    <sheetView tabSelected="1" zoomScale="60" zoomScaleNormal="60" zoomScaleSheetLayoutView="70" workbookViewId="0">
      <pane xSplit="3" ySplit="2" topLeftCell="D252" activePane="bottomRight" state="frozen"/>
      <selection activeCell="A1" sqref="A1"/>
      <selection pane="topRight" activeCell="A1" sqref="A1"/>
      <selection pane="bottomLeft" activeCell="A1" sqref="A1"/>
      <selection pane="bottomRight" activeCell="G256" sqref="G256"/>
    </sheetView>
  </sheetViews>
  <sheetFormatPr baseColWidth="8" defaultColWidth="8.888888888888889" defaultRowHeight="90" customHeight="1"/>
  <cols>
    <col width="6.00925925925926" customWidth="1" style="82" min="1" max="1"/>
    <col width="15.5555555555556" customWidth="1" style="532" min="2" max="3"/>
    <col width="9.77777777777778" customWidth="1" style="532" min="4" max="4"/>
    <col width="15.3888888888889" customWidth="1" style="532" min="5" max="5"/>
    <col width="11.5740740740741" customWidth="1" style="532" min="6" max="6"/>
    <col width="47.962962962963" customWidth="1" style="532" min="7" max="7"/>
    <col width="37.037037037037" customWidth="1" style="532" min="8" max="8"/>
    <col width="24.6018518518519" customWidth="1" style="532" min="9" max="9"/>
    <col width="18.5185185185185" customWidth="1" style="533" min="10" max="10"/>
    <col width="19.4444444444444" customWidth="1" style="533" min="11" max="11"/>
    <col width="19.0277777777778" customWidth="1" style="533" min="12" max="12"/>
    <col width="17.1388888888889" customWidth="1" style="534" min="13" max="13"/>
    <col width="8.33333333333333" customWidth="1" style="532" min="14" max="15"/>
    <col width="12.4074074074074" customWidth="1" style="532" min="16" max="16"/>
    <col width="11.6666666666667" customWidth="1" style="532" min="17" max="17"/>
    <col width="8.888888888888889" customWidth="1" style="532" min="18" max="20"/>
    <col width="34.4444444444444" customWidth="1" style="532" min="21" max="21"/>
    <col width="10" customWidth="1" style="532" min="22" max="22"/>
    <col width="17.0185185185185" customWidth="1" style="532" min="23" max="23"/>
    <col width="19.8148148148148" customWidth="1" style="533" min="24" max="24"/>
    <col width="8.50925925925926" customWidth="1" style="532" min="25" max="25"/>
    <col width="23.7777777777778" customWidth="1" style="532" min="26" max="26"/>
    <col width="20.8888888888889" customWidth="1" style="532" min="27" max="27"/>
    <col width="22" customWidth="1" style="532" min="28" max="28"/>
    <col width="18.2222222222222" customWidth="1" style="82" min="29" max="29"/>
    <col width="27.962962962963" customWidth="1" style="532" min="30" max="30"/>
    <col width="27.287037037037" customWidth="1" style="532" min="31" max="31"/>
    <col width="23.3333333333333" customWidth="1" style="532" min="32" max="32"/>
    <col hidden="1" width="12.0555555555556" customWidth="1" style="532" min="33" max="33"/>
    <col hidden="1" width="11.8518518518519" customWidth="1" style="532" min="34" max="34"/>
    <col hidden="1" width="8.888888888888889" customWidth="1" style="532" min="35" max="35"/>
    <col hidden="1" width="6.5" customWidth="1" style="532" min="36" max="36"/>
    <col width="8.888888888888889" customWidth="1" style="532" min="37" max="37"/>
    <col width="62.7777777777778" customWidth="1" style="533" min="38" max="38"/>
    <col width="67.1111111111111" customWidth="1" style="532" min="39" max="39"/>
    <col width="46.7037037037037" customWidth="1" style="532" min="40" max="40"/>
    <col width="12.1111111111111" customWidth="1" style="82" min="41" max="41"/>
    <col width="16.3148148148148" customWidth="1" style="532" min="42" max="42"/>
    <col width="12.8888888888889" customWidth="1" style="532" min="43" max="43"/>
    <col width="8.888888888888889" customWidth="1" style="532" min="44" max="16384"/>
  </cols>
  <sheetData>
    <row r="1" ht="88" customFormat="1" customHeight="1" s="535">
      <c r="A1" s="536" t="inlineStr">
        <is>
          <t>（所有车改无需打卡）</t>
        </is>
      </c>
      <c r="B1" s="537" t="n"/>
      <c r="C1" s="537" t="n"/>
      <c r="D1" s="537" t="n"/>
      <c r="E1" s="537" t="n"/>
      <c r="F1" s="537" t="n"/>
      <c r="G1" s="537" t="n"/>
      <c r="H1" s="537" t="n"/>
      <c r="I1" s="537" t="n"/>
      <c r="J1" s="537" t="n"/>
      <c r="K1" s="537" t="n"/>
      <c r="L1" s="537" t="n"/>
      <c r="M1" s="537" t="n"/>
      <c r="N1" s="537" t="n"/>
      <c r="O1" s="537" t="n"/>
      <c r="P1" s="537" t="n"/>
      <c r="Q1" s="537" t="n"/>
      <c r="R1" s="537" t="n"/>
      <c r="S1" s="537" t="n"/>
      <c r="T1" s="538" t="n"/>
      <c r="U1" s="185" t="n"/>
      <c r="V1" s="185" t="n"/>
      <c r="W1" s="185" t="n"/>
      <c r="X1" s="185" t="n"/>
      <c r="Y1" s="185" t="n"/>
      <c r="Z1" s="185" t="n"/>
      <c r="AA1" s="532" t="n"/>
      <c r="AB1" s="82" t="n"/>
      <c r="AC1" s="532" t="n"/>
      <c r="AD1" s="532" t="n"/>
      <c r="AE1" s="532" t="n"/>
      <c r="AF1" s="535" t="n"/>
      <c r="AG1" s="535" t="n"/>
      <c r="AH1" s="533" t="n"/>
      <c r="AI1" s="475" t="n"/>
      <c r="AJ1" s="535" t="n"/>
      <c r="AK1" s="535" t="n"/>
      <c r="AL1" s="535" t="n"/>
      <c r="AM1" s="535" t="n"/>
      <c r="AN1" s="535" t="n"/>
      <c r="AO1" s="535" t="n"/>
      <c r="AP1" s="535" t="n"/>
      <c r="AQ1" s="535" t="n"/>
      <c r="AR1" s="535" t="n"/>
      <c r="AS1" s="535" t="n"/>
      <c r="AT1" s="535" t="n"/>
      <c r="AU1" s="535" t="n"/>
      <c r="AV1" s="535" t="n"/>
      <c r="AW1" s="535" t="n"/>
      <c r="AX1" s="535" t="n"/>
      <c r="AY1" s="535" t="n"/>
      <c r="AZ1" s="535" t="n"/>
      <c r="BA1" s="535" t="n"/>
      <c r="BB1" s="535" t="n"/>
      <c r="BC1" s="535" t="n"/>
      <c r="BD1" s="535" t="n"/>
      <c r="BE1" s="535" t="n"/>
      <c r="BF1" s="535" t="n"/>
      <c r="BG1" s="535" t="n"/>
      <c r="BH1" s="535" t="n"/>
      <c r="BI1" s="535" t="n"/>
      <c r="BJ1" s="535" t="n"/>
      <c r="BK1" s="535" t="n"/>
      <c r="BL1" s="535" t="n"/>
      <c r="BM1" s="535" t="n"/>
      <c r="BN1" s="535" t="n"/>
      <c r="BO1" s="535" t="n"/>
      <c r="BP1" s="535" t="n"/>
      <c r="BQ1" s="535" t="n"/>
      <c r="BR1" s="535" t="n"/>
      <c r="BS1" s="535" t="n"/>
      <c r="BT1" s="535" t="n"/>
      <c r="BU1" s="535" t="n"/>
      <c r="BV1" s="535" t="n"/>
      <c r="BW1" s="535" t="n"/>
      <c r="BX1" s="535" t="n"/>
      <c r="BY1" s="535" t="n"/>
      <c r="BZ1" s="535" t="n"/>
      <c r="CA1" s="535" t="n"/>
      <c r="CB1" s="535" t="n"/>
      <c r="CC1" s="535" t="n"/>
      <c r="CD1" s="535" t="n"/>
      <c r="CE1" s="535" t="n"/>
    </row>
    <row r="2" ht="62" customFormat="1" customHeight="1" s="535">
      <c r="A2" s="82" t="inlineStr">
        <is>
          <t>序号</t>
        </is>
      </c>
      <c r="B2" s="539" t="inlineStr">
        <is>
          <t>姓名</t>
        </is>
      </c>
      <c r="C2" s="540" t="inlineStr">
        <is>
          <t>wxyj
所属缴纳单位</t>
        </is>
      </c>
      <c r="D2" s="541" t="inlineStr">
        <is>
          <t>性别</t>
        </is>
      </c>
      <c r="E2" s="532" t="inlineStr">
        <is>
          <t>转正薪酬</t>
        </is>
      </c>
      <c r="F2" s="539" t="inlineStr">
        <is>
          <t>工资说明</t>
        </is>
      </c>
      <c r="G2" s="532" t="inlineStr">
        <is>
          <t>备注</t>
        </is>
      </c>
      <c r="H2" s="532" t="inlineStr">
        <is>
          <t>岗位</t>
        </is>
      </c>
      <c r="I2" s="542" t="inlineStr">
        <is>
          <t>入职时间</t>
        </is>
      </c>
      <c r="J2" s="542" t="inlineStr">
        <is>
          <t>离职时间</t>
        </is>
      </c>
      <c r="K2" s="533" t="inlineStr">
        <is>
          <t>转正时间</t>
        </is>
      </c>
      <c r="L2" s="534" t="inlineStr">
        <is>
          <t>开始缴纳月份</t>
        </is>
      </c>
      <c r="M2" s="541" t="inlineStr">
        <is>
          <t>工作
地</t>
        </is>
      </c>
      <c r="N2" s="541" t="inlineStr">
        <is>
          <t>社保
缴纳地</t>
        </is>
      </c>
      <c r="O2" s="541" t="inlineStr">
        <is>
          <t>试用期
薪酬</t>
        </is>
      </c>
      <c r="P2" s="541" t="inlineStr">
        <is>
          <t>转正
薪酬</t>
        </is>
      </c>
      <c r="Q2" s="532" t="inlineStr">
        <is>
          <t>餐补</t>
        </is>
      </c>
      <c r="R2" s="532" t="inlineStr">
        <is>
          <t>交通补</t>
        </is>
      </c>
      <c r="S2" s="532" t="inlineStr">
        <is>
          <t>误餐补</t>
        </is>
      </c>
      <c r="T2" s="532" t="inlineStr">
        <is>
          <t>合同期（年）</t>
        </is>
      </c>
      <c r="U2" s="541" t="inlineStr">
        <is>
          <t>试用期
（月）</t>
        </is>
      </c>
      <c r="V2" s="532" t="inlineStr">
        <is>
          <t>专业</t>
        </is>
      </c>
      <c r="W2" s="533" t="inlineStr">
        <is>
          <t>毕业时间</t>
        </is>
      </c>
      <c r="X2" s="532" t="inlineStr">
        <is>
          <t>教育程度</t>
        </is>
      </c>
      <c r="Y2" s="532" t="inlineStr">
        <is>
          <t>邮箱</t>
        </is>
      </c>
      <c r="Z2" s="532" t="inlineStr">
        <is>
          <t>家庭住址 户口</t>
        </is>
      </c>
      <c r="AA2" s="532" t="inlineStr">
        <is>
          <t>联系地址</t>
        </is>
      </c>
      <c r="AB2" s="82" t="inlineStr">
        <is>
          <t>联系方式</t>
        </is>
      </c>
      <c r="AC2" s="532" t="inlineStr">
        <is>
          <t>身份证号码</t>
        </is>
      </c>
      <c r="AD2" s="532" t="inlineStr">
        <is>
          <t>工资卡卡号</t>
        </is>
      </c>
      <c r="AE2" s="532" t="inlineStr">
        <is>
          <t>银行</t>
        </is>
      </c>
      <c r="AF2" s="543" t="inlineStr">
        <is>
          <t>简历
（罗仕香维护）</t>
        </is>
      </c>
      <c r="AG2" s="535" t="inlineStr">
        <is>
          <t>在职</t>
        </is>
      </c>
      <c r="AH2" s="533" t="inlineStr">
        <is>
          <t>合同到期</t>
        </is>
      </c>
      <c r="AI2" s="193" t="inlineStr">
        <is>
          <t>年龄</t>
        </is>
      </c>
      <c r="AJ2" s="84" t="inlineStr">
        <is>
          <t>生日日期</t>
        </is>
      </c>
      <c r="AK2" s="544" t="inlineStr">
        <is>
          <t>所属季度</t>
        </is>
      </c>
    </row>
    <row r="3" ht="105" customFormat="1" customHeight="1" s="532">
      <c r="A3" s="82" t="n">
        <v>1</v>
      </c>
      <c r="B3" s="532" t="inlineStr">
        <is>
          <t>秦亚杰</t>
        </is>
      </c>
      <c r="C3" s="532" t="inlineStr">
        <is>
          <t>邦芒</t>
        </is>
      </c>
      <c r="D3" s="541" t="inlineStr">
        <is>
          <t>男</t>
        </is>
      </c>
      <c r="E3" s="532" t="n">
        <v>14000</v>
      </c>
      <c r="F3" s="541" t="inlineStr">
        <is>
          <t>秦亚杰（工资14000  餐补+交通补30元/天超过20:00算加班，18/天
病假处理：
每月累计5天（含）以下，且每年累计30天以下，病假期间发放基本工资； 
每月累计5天以上，或每年累计30天以上，根据国家规定，病假期间发放当地最低工资标准的80%，医疗期期间工资按照当地最低工资标准的80%计发。
2023年北京基本工资2420</t>
        </is>
      </c>
      <c r="G3" s="541" t="inlineStr">
        <is>
          <t>材料齐全
已回寄员工</t>
        </is>
      </c>
      <c r="H3" s="541" t="inlineStr">
        <is>
          <t>车辆调试工程师</t>
        </is>
      </c>
      <c r="I3" s="533" t="n">
        <v>44691</v>
      </c>
      <c r="J3" s="533" t="inlineStr">
        <is>
          <t>/</t>
        </is>
      </c>
      <c r="K3" s="533" t="n">
        <v>44782</v>
      </c>
      <c r="L3" s="534" t="n">
        <v>44682</v>
      </c>
      <c r="M3" s="532" t="inlineStr">
        <is>
          <t>北京</t>
        </is>
      </c>
      <c r="N3" s="532" t="inlineStr">
        <is>
          <t>北京</t>
        </is>
      </c>
      <c r="O3" s="532" t="n">
        <v>13000</v>
      </c>
      <c r="P3" s="532" t="n">
        <v>13000</v>
      </c>
      <c r="Q3" s="532" t="n">
        <v>18</v>
      </c>
      <c r="R3" s="532" t="n">
        <v>12</v>
      </c>
      <c r="S3" s="532" t="n">
        <v>18</v>
      </c>
      <c r="T3" s="218" t="inlineStr">
        <is>
          <t>第0次不管：2022/5/10入职 ，2022/8/31离职（ 脱敏期）
第1次：1年合同：2023/12/1-2024/11/30   
第2次：3年合同：2022/5/10-2025/5/9     签署三年合同OK（为方便已从头签）
第3次：3年合同：2025/5/9-2028/5/8</t>
        </is>
      </c>
      <c r="U3" s="82" t="n">
        <v>3</v>
      </c>
      <c r="V3" s="532" t="inlineStr">
        <is>
          <t>初中</t>
        </is>
      </c>
      <c r="W3" s="533" t="inlineStr">
        <is>
          <t>/</t>
        </is>
      </c>
      <c r="X3" s="532" t="inlineStr">
        <is>
          <t>初中</t>
        </is>
      </c>
      <c r="Y3" s="545" t="inlineStr">
        <is>
          <t>1471911951@qq.com</t>
        </is>
      </c>
      <c r="Z3" s="532" t="inlineStr">
        <is>
          <t>河北省承德市滦平县付营子镇温台村老西营子43号</t>
        </is>
      </c>
      <c r="AA3" s="532" t="inlineStr">
        <is>
          <t>北京市海淀区高里掌路翠湖科技园3号院19号楼地平线</t>
        </is>
      </c>
      <c r="AB3" s="82" t="n">
        <v>13520209874</v>
      </c>
      <c r="AC3" s="546" t="inlineStr">
        <is>
          <t>130824198512186014</t>
        </is>
      </c>
      <c r="AD3" s="532" t="inlineStr">
        <is>
          <t>秦亚杰建行6217000010179682219北京上地支行</t>
        </is>
      </c>
      <c r="AE3" s="532" t="inlineStr">
        <is>
          <t>中国建设银行</t>
        </is>
      </c>
      <c r="AF3" s="541" t="n"/>
      <c r="AG3" s="532" t="inlineStr">
        <is>
          <t>否</t>
        </is>
      </c>
      <c r="AH3" s="547" t="inlineStr">
        <is>
          <t>第0次不管：2022/5/10入职 ，2022/8/31离职（ 脱敏期）
第1次：1年合同：2023/12/1-2024/11/30   
第2次：3年合同：2022/5/10-2025/5/9 签署三年合同OK
（为方便已从头签）
第3次：3年合同：2025/5/9-2028/5/8</t>
        </is>
      </c>
      <c r="AI3" s="82">
        <f>DATEDIF(--TEXT(MID(AC3,7,8),"0-00-00"),TODAY(),"y")</f>
        <v/>
      </c>
      <c r="AJ3" s="548">
        <f>TEXT(MID(AC3,7,8),"0000-00-00")</f>
        <v/>
      </c>
      <c r="AK3" s="95">
        <f>CHOOSE(MONTH(AJ3),1,1,1,2,2,2,3,3,3,4,4,4)</f>
        <v/>
      </c>
    </row>
    <row r="4" ht="105" customFormat="1" customHeight="1" s="532">
      <c r="A4" s="82" t="n">
        <v>2</v>
      </c>
      <c r="B4" s="532" t="inlineStr">
        <is>
          <t>李友良</t>
        </is>
      </c>
      <c r="C4" s="532" t="inlineStr">
        <is>
          <t>邦芒</t>
        </is>
      </c>
      <c r="D4" s="541" t="inlineStr">
        <is>
          <t>男</t>
        </is>
      </c>
      <c r="E4" s="532" t="n">
        <v>15000</v>
      </c>
      <c r="F4" s="541" t="inlineStr">
        <is>
          <t>李友良-工资13500，2025年5月起开始涨薪至15000元， 无任何补贴 
病假处理：
每月累计5天（含）以下，且每年累计30天以下，病假期间发放基本工资； 
每月累计5天以上，或每年累计30天以上，根据国家规定，病假期间发放当地最低工资标准的80%，医疗期期间工资按照当地最低工资标准的80%计发。
2023年北京基本工资2420</t>
        </is>
      </c>
      <c r="G4" s="541" t="inlineStr">
        <is>
          <t>材料齐全
已回寄员工</t>
        </is>
      </c>
      <c r="H4" s="541" t="inlineStr">
        <is>
          <t>标定工程师</t>
        </is>
      </c>
      <c r="I4" s="533" t="n">
        <v>44706</v>
      </c>
      <c r="J4" s="533" t="inlineStr">
        <is>
          <t>/</t>
        </is>
      </c>
      <c r="K4" s="533" t="n">
        <v>44797</v>
      </c>
      <c r="L4" s="534" t="n">
        <v>44714</v>
      </c>
      <c r="M4" s="532" t="inlineStr">
        <is>
          <t>北京</t>
        </is>
      </c>
      <c r="N4" s="532" t="inlineStr">
        <is>
          <t>北京</t>
        </is>
      </c>
      <c r="O4" s="532" t="n">
        <v>12000</v>
      </c>
      <c r="P4" s="532" t="n">
        <v>12000</v>
      </c>
      <c r="Q4" s="532" t="n">
        <v>18</v>
      </c>
      <c r="R4" s="532" t="n">
        <v>12</v>
      </c>
      <c r="S4" s="532" t="n">
        <v>18</v>
      </c>
      <c r="T4" s="218" t="inlineStr">
        <is>
          <t>第0次不管：2022/5/25入职 ，2022/8/31离职（ 脱敏期）
第1次：1年合同：2023/12/1-2024/11/30  
第2次：3年合同：2022/5/25-2025年5/24   签署三年合同OK（为方便已从头签）
第3次：3年合同：2025/5/25-2028/5/24</t>
        </is>
      </c>
      <c r="U4" s="82" t="n">
        <v>3</v>
      </c>
      <c r="V4" s="532" t="inlineStr">
        <is>
          <t>中专</t>
        </is>
      </c>
      <c r="W4" s="533" t="inlineStr">
        <is>
          <t>/</t>
        </is>
      </c>
      <c r="X4" s="532" t="inlineStr">
        <is>
          <t>中专</t>
        </is>
      </c>
      <c r="Y4" s="545" t="inlineStr">
        <is>
          <t>269386729@qq.com</t>
        </is>
      </c>
      <c r="Z4" s="532" t="inlineStr">
        <is>
          <t>河北省衡水市故城县青罕镇青罕村467号</t>
        </is>
      </c>
      <c r="AA4" s="532" t="inlineStr">
        <is>
          <t>北京市海淀区高里掌翠湖科技园3号院19号楼</t>
        </is>
      </c>
      <c r="AB4" s="82" t="n">
        <v>15533819896</v>
      </c>
      <c r="AC4" s="546" t="inlineStr">
        <is>
          <t>131126199505161839</t>
        </is>
      </c>
      <c r="AD4" s="532" t="inlineStr">
        <is>
          <t>李友良招商银行：6214830192061892北京回龙观支行</t>
        </is>
      </c>
      <c r="AE4" s="532" t="inlineStr">
        <is>
          <t>招商银行北京回龙观支行</t>
        </is>
      </c>
      <c r="AF4" s="541" t="n"/>
      <c r="AG4" s="532" t="inlineStr">
        <is>
          <t>否</t>
        </is>
      </c>
      <c r="AH4" s="547" t="inlineStr">
        <is>
          <t>第0次不管：2022/5/25入职 ，2022/8/31离职（ 脱敏期）
第1次：1年合同：2023/12/1-2024/11/30  
第2次：3年合同：2022/5/25-2025年5/24   签署三年合同OK（为方便已从头签）
第3次：3年合同：2025/5/25-2028/5/24</t>
        </is>
      </c>
      <c r="AI4" s="82">
        <f>DATEDIF(--TEXT(MID(AC4,7,8),"0-00-00"),TODAY(),"y")</f>
        <v/>
      </c>
      <c r="AJ4" s="548">
        <f>TEXT(MID(AC4,7,8),"0000-00-00")</f>
        <v/>
      </c>
      <c r="AK4" s="95">
        <f>CHOOSE(MONTH(AJ4),1,1,1,2,2,2,3,3,3,4,4,4)</f>
        <v/>
      </c>
    </row>
    <row r="5" customFormat="1" s="549">
      <c r="A5" s="197" t="n">
        <v>3</v>
      </c>
      <c r="B5" s="550" t="inlineStr">
        <is>
          <t>李成龙
（酷睿程-2025/2/18已离职）</t>
        </is>
      </c>
      <c r="C5" s="550" t="inlineStr">
        <is>
          <t>/</t>
        </is>
      </c>
      <c r="D5" s="550" t="inlineStr">
        <is>
          <t>男</t>
        </is>
      </c>
      <c r="E5" s="549" t="inlineStr">
        <is>
          <t>1124/天</t>
        </is>
      </c>
      <c r="F5" s="550" t="inlineStr">
        <is>
          <t>工资和中软结算，
工资是：1124元/天</t>
        </is>
      </c>
      <c r="G5" s="550" t="inlineStr">
        <is>
          <t>不是文石人
无需劳动合同</t>
        </is>
      </c>
      <c r="H5" s="549" t="inlineStr">
        <is>
          <t>智能驾驶测试工程师</t>
        </is>
      </c>
      <c r="I5" s="551" t="n">
        <v>45287</v>
      </c>
      <c r="J5" s="552" t="inlineStr">
        <is>
          <t>2025/2/18  lastday
已转TS已离职</t>
        </is>
      </c>
      <c r="K5" s="551" t="n">
        <v>45377</v>
      </c>
      <c r="L5" s="553" t="inlineStr">
        <is>
          <t>不需缴纳</t>
        </is>
      </c>
      <c r="M5" s="549" t="inlineStr">
        <is>
          <t>北京</t>
        </is>
      </c>
      <c r="N5" s="549" t="inlineStr">
        <is>
          <t>不需要</t>
        </is>
      </c>
      <c r="O5" s="554" t="inlineStr">
        <is>
          <t>1124/天</t>
        </is>
      </c>
      <c r="P5" s="554" t="inlineStr">
        <is>
          <t>1124/天</t>
        </is>
      </c>
      <c r="Q5" s="549" t="n">
        <v>0</v>
      </c>
      <c r="R5" s="549" t="n">
        <v>0</v>
      </c>
      <c r="S5" s="549" t="n">
        <v>0</v>
      </c>
      <c r="T5" s="549" t="inlineStr">
        <is>
          <t>不需要</t>
        </is>
      </c>
      <c r="U5" s="549" t="inlineStr">
        <is>
          <t>不需要</t>
        </is>
      </c>
      <c r="V5" s="549" t="inlineStr">
        <is>
          <t>不需要</t>
        </is>
      </c>
      <c r="W5" s="551" t="inlineStr">
        <is>
          <t>不需要</t>
        </is>
      </c>
      <c r="X5" s="549" t="inlineStr">
        <is>
          <t>不需要</t>
        </is>
      </c>
      <c r="Y5" s="555" t="inlineStr">
        <is>
          <t>1443945967@qq.com</t>
        </is>
      </c>
      <c r="Z5" s="549" t="inlineStr">
        <is>
          <t>不需要</t>
        </is>
      </c>
      <c r="AA5" s="549" t="inlineStr">
        <is>
          <t>不需要</t>
        </is>
      </c>
      <c r="AB5" s="197" t="n">
        <v>17355485329</v>
      </c>
      <c r="AC5" s="556" t="inlineStr">
        <is>
          <t>342622199702100439</t>
        </is>
      </c>
      <c r="AD5" s="549" t="inlineStr">
        <is>
          <t>不需要</t>
        </is>
      </c>
      <c r="AE5" s="549" t="inlineStr">
        <is>
          <t>不需要</t>
        </is>
      </c>
      <c r="AF5" s="549" t="n"/>
      <c r="AG5" s="549" t="inlineStr">
        <is>
          <t>否</t>
        </is>
      </c>
      <c r="AH5" s="552" t="inlineStr">
        <is>
          <t>离职啦</t>
        </is>
      </c>
      <c r="AI5" s="82">
        <f>DATEDIF(--TEXT(MID(AC5,7,8),"0-00-00"),TODAY(),"y")</f>
        <v/>
      </c>
      <c r="AJ5" s="548">
        <f>TEXT(MID(AC5,7,8),"0000-00-00")</f>
        <v/>
      </c>
      <c r="AK5" s="95">
        <f>CHOOSE(MONTH(AJ5),1,1,1,2,2,2,3,3,3,4,4,4)</f>
        <v/>
      </c>
    </row>
    <row r="6" customFormat="1" s="532">
      <c r="A6" s="82" t="n">
        <v>3</v>
      </c>
      <c r="B6" s="541" t="inlineStr">
        <is>
          <t>魏正南</t>
        </is>
      </c>
      <c r="C6" s="541" t="inlineStr">
        <is>
          <t>北京文石</t>
        </is>
      </c>
      <c r="D6" s="541" t="inlineStr">
        <is>
          <t>男</t>
        </is>
      </c>
      <c r="E6" s="532">
        <f>12000+1800</f>
        <v/>
      </c>
      <c r="F6" s="541" t="inlineStr">
        <is>
          <t>工资9600/12k 无任何补贴，
无其他费用
2024年12月涨薪1800，
工资是12000+1800=13800</t>
        </is>
      </c>
      <c r="G6" s="541" t="inlineStr">
        <is>
          <t>材料齐全
已回寄员工</t>
        </is>
      </c>
      <c r="H6" s="532" t="inlineStr">
        <is>
          <t>智能驾驶车辆改装工程师</t>
        </is>
      </c>
      <c r="I6" s="533" t="n">
        <v>45313</v>
      </c>
      <c r="J6" s="533" t="inlineStr">
        <is>
          <t>/</t>
        </is>
      </c>
      <c r="K6" s="533" t="n">
        <v>45403</v>
      </c>
      <c r="L6" s="534" t="n">
        <v>45323</v>
      </c>
      <c r="M6" s="532" t="inlineStr">
        <is>
          <t>北京</t>
        </is>
      </c>
      <c r="N6" s="532" t="inlineStr">
        <is>
          <t>北京</t>
        </is>
      </c>
      <c r="O6" s="532" t="n">
        <v>9600</v>
      </c>
      <c r="P6" s="532" t="n">
        <v>12000</v>
      </c>
      <c r="Q6" s="532" t="n">
        <v>0</v>
      </c>
      <c r="R6" s="532" t="n">
        <v>0</v>
      </c>
      <c r="S6" s="532" t="n">
        <v>0</v>
      </c>
      <c r="T6" s="541" t="inlineStr">
        <is>
          <t>第一次合同：1年：2024/1/22-2025/1/21
第二次合同：3年：2025/1/21-2028/1/20</t>
        </is>
      </c>
      <c r="U6" s="532" t="inlineStr">
        <is>
          <t>3个月</t>
        </is>
      </c>
      <c r="V6" s="532" t="inlineStr">
        <is>
          <t>汽车维修方向</t>
        </is>
      </c>
      <c r="W6" s="533" t="inlineStr">
        <is>
          <t>2016-2019</t>
        </is>
      </c>
      <c r="X6" s="532" t="inlineStr">
        <is>
          <t>大专</t>
        </is>
      </c>
      <c r="Y6" s="545" t="inlineStr">
        <is>
          <t>18611090078@163.com</t>
        </is>
      </c>
      <c r="Z6" s="541" t="inlineStr">
        <is>
          <t>北京市延庆县永宁镇
孔化营村西区42号</t>
        </is>
      </c>
      <c r="AA6" s="541" t="inlineStr">
        <is>
          <t>北京市门头沟区永定镇
惠康家园二区6号楼203</t>
        </is>
      </c>
      <c r="AB6" s="82" t="n">
        <v>15652091913</v>
      </c>
      <c r="AC6" s="546" t="inlineStr">
        <is>
          <t>110229198403211319</t>
        </is>
      </c>
      <c r="AD6" s="546" t="inlineStr">
        <is>
          <t>6227000012920119292</t>
        </is>
      </c>
      <c r="AE6" s="532" t="inlineStr">
        <is>
          <t>中国建设银行</t>
        </is>
      </c>
      <c r="AF6" s="532" t="n"/>
      <c r="AG6" s="532" t="inlineStr">
        <is>
          <t>是</t>
        </is>
      </c>
      <c r="AH6" s="547" t="inlineStr">
        <is>
          <t>第一次合同：1年：2024/1/22-2025/1/21
第二次合同：3年：2025/1/21-2028/1/20</t>
        </is>
      </c>
      <c r="AI6" s="82">
        <f>DATEDIF(--TEXT(MID(AC6,7,8),"0-00-00"),TODAY(),"y")</f>
        <v/>
      </c>
      <c r="AJ6" s="548">
        <f>TEXT(MID(AC6,7,8),"0000-00-00")</f>
        <v/>
      </c>
      <c r="AK6" s="95">
        <f>CHOOSE(MONTH(AJ6),1,1,1,2,2,2,3,3,3,4,4,4)</f>
        <v/>
      </c>
    </row>
    <row r="7" customFormat="1" s="549">
      <c r="A7" s="197" t="n">
        <v>4</v>
      </c>
      <c r="B7" s="550" t="inlineStr">
        <is>
          <t>周浩（最终2025/11/14日lastday主动离职）</t>
        </is>
      </c>
      <c r="C7" s="550" t="inlineStr">
        <is>
          <t>北京文石</t>
        </is>
      </c>
      <c r="D7" s="550" t="inlineStr">
        <is>
          <t>男</t>
        </is>
      </c>
      <c r="E7" s="549" t="n">
        <v>9500</v>
      </c>
      <c r="F7" s="550" t="inlineStr">
        <is>
          <t>工资7600/9500
无任何补贴，无其他费用</t>
        </is>
      </c>
      <c r="G7" s="550" t="inlineStr">
        <is>
          <t>材料缺文石录用确认书
已回寄员工</t>
        </is>
      </c>
      <c r="H7" s="549" t="inlineStr">
        <is>
          <t>信息采集员</t>
        </is>
      </c>
      <c r="I7" s="551" t="n">
        <v>45313</v>
      </c>
      <c r="J7" s="552" t="inlineStr">
        <is>
          <t>2025/11/14
周浩主动离职lastday2025/11/14
其中11.3日和11.13日请年假2天，无调休数据，9月30日发邮箱的打车费还有454.96未报销，询问了剩余年假还剩1天，发薪都是开11.17日</t>
        </is>
      </c>
      <c r="K7" s="551" t="n">
        <v>45403</v>
      </c>
      <c r="L7" s="553" t="n">
        <v>45323</v>
      </c>
      <c r="M7" s="549" t="inlineStr">
        <is>
          <t>北京</t>
        </is>
      </c>
      <c r="N7" s="549" t="inlineStr">
        <is>
          <t>北京</t>
        </is>
      </c>
      <c r="O7" s="554" t="n">
        <v>7600</v>
      </c>
      <c r="P7" s="554" t="n">
        <v>9500</v>
      </c>
      <c r="Q7" s="532" t="n">
        <v>0</v>
      </c>
      <c r="R7" s="532" t="n">
        <v>0</v>
      </c>
      <c r="S7" s="532" t="n">
        <v>0</v>
      </c>
      <c r="T7" s="549" t="inlineStr">
        <is>
          <t>两份合同，转正后要求3年合同
2024/1/22-2027/1/21</t>
        </is>
      </c>
      <c r="U7" s="549" t="inlineStr">
        <is>
          <t>3个月</t>
        </is>
      </c>
      <c r="V7" s="549" t="inlineStr">
        <is>
          <t>建筑智能化工程技术</t>
        </is>
      </c>
      <c r="W7" s="551" t="inlineStr">
        <is>
          <t>2019-2021</t>
        </is>
      </c>
      <c r="X7" s="549" t="inlineStr">
        <is>
          <t>大专</t>
        </is>
      </c>
      <c r="Y7" s="549" t="inlineStr">
        <is>
          <t>1643071083@163.com</t>
        </is>
      </c>
      <c r="Z7" s="549" t="inlineStr">
        <is>
          <t>河北省河问市卧佛堂镇
北小店一村333号</t>
        </is>
      </c>
      <c r="AA7" s="549" t="inlineStr">
        <is>
          <t>北京市丰台区石榴
庄南里甲8号院
北京市丰台区洋桥北里34号楼1304</t>
        </is>
      </c>
      <c r="AB7" s="197" t="n">
        <v>15652727156</v>
      </c>
      <c r="AC7" s="556" t="inlineStr">
        <is>
          <t>130984200011061530</t>
        </is>
      </c>
      <c r="AD7" s="556" t="inlineStr">
        <is>
          <t>6217000010175929242</t>
        </is>
      </c>
      <c r="AE7" s="549" t="inlineStr">
        <is>
          <t>中国建设银行</t>
        </is>
      </c>
      <c r="AF7" s="549" t="n"/>
      <c r="AG7" s="549" t="inlineStr">
        <is>
          <t>否</t>
        </is>
      </c>
      <c r="AH7" s="552" t="inlineStr">
        <is>
          <t>第一次合同：3年：2024/1/22-2027/1/21</t>
        </is>
      </c>
      <c r="AI7" s="82">
        <f>DATEDIF(--TEXT(MID(AC7,7,8),"0-00-00"),TODAY(),"y")</f>
        <v/>
      </c>
      <c r="AJ7" s="548">
        <f>TEXT(MID(AC7,7,8),"0000-00-00")</f>
        <v/>
      </c>
      <c r="AK7" s="95">
        <f>CHOOSE(MONTH(AJ7),1,1,1,2,2,2,3,3,3,4,4,4)</f>
        <v/>
      </c>
    </row>
    <row r="8" ht="126" customFormat="1" customHeight="1" s="532">
      <c r="A8" s="82" t="n">
        <v>4</v>
      </c>
      <c r="B8" s="541" t="inlineStr">
        <is>
          <t>陆俊杰</t>
        </is>
      </c>
      <c r="C8" s="541" t="inlineStr">
        <is>
          <t>上海文石</t>
        </is>
      </c>
      <c r="D8" s="541" t="inlineStr">
        <is>
          <t>男</t>
        </is>
      </c>
      <c r="E8" s="532" t="n">
        <v>21000</v>
      </c>
      <c r="F8" s="541" t="inlineStr">
        <is>
          <t>工资14/17.5 ，2025年5月起开始涨薪至21000元，13薪也包含里面了
2025/4/25-之后:基本工资 2600 元/月，绩效工资 6950 元/月，外派津贴 6950 元/月社保补贴 3500 元/月，公积金补贴 1000 元/月，合计 21000 元/月。</t>
        </is>
      </c>
      <c r="G8" s="541" t="inlineStr">
        <is>
          <t>材料齐全
已回寄员工</t>
        </is>
      </c>
      <c r="H8" s="532" t="inlineStr">
        <is>
          <t>自动驾驶集成测试工程师</t>
        </is>
      </c>
      <c r="I8" s="533" t="n">
        <v>45322</v>
      </c>
      <c r="J8" s="533" t="inlineStr">
        <is>
          <t>/</t>
        </is>
      </c>
      <c r="K8" s="533" t="n">
        <v>45412</v>
      </c>
      <c r="L8" s="534" t="n">
        <v>45323</v>
      </c>
      <c r="M8" s="532" t="inlineStr">
        <is>
          <t>上海</t>
        </is>
      </c>
      <c r="N8" s="532" t="inlineStr">
        <is>
          <t>上海</t>
        </is>
      </c>
      <c r="O8" s="532" t="n">
        <v>14000</v>
      </c>
      <c r="P8" s="532" t="n">
        <v>17500</v>
      </c>
      <c r="Q8" s="532" t="n">
        <v>0</v>
      </c>
      <c r="R8" s="532" t="n">
        <v>0</v>
      </c>
      <c r="S8" s="532" t="n">
        <v>0</v>
      </c>
      <c r="T8" s="541" t="inlineStr">
        <is>
          <t>第一次合同：1年：
2024/1/31-2025/1/30
第二次合同：2年：
2025/1/31-2027/1/30</t>
        </is>
      </c>
      <c r="U8" s="532" t="inlineStr">
        <is>
          <t>3个月</t>
        </is>
      </c>
      <c r="V8" s="532" t="inlineStr">
        <is>
          <t>汽车服务工程</t>
        </is>
      </c>
      <c r="W8" s="533" t="inlineStr">
        <is>
          <t>2014-2018</t>
        </is>
      </c>
      <c r="X8" s="532" t="inlineStr">
        <is>
          <t>本科</t>
        </is>
      </c>
      <c r="Y8" s="532" t="inlineStr">
        <is>
          <t xml:space="preserve"> 1269534378@qq.com</t>
        </is>
      </c>
      <c r="Z8" s="532" t="inlineStr">
        <is>
          <t>上海市宝山区海滨二号302室</t>
        </is>
      </c>
      <c r="AA8" s="541" t="inlineStr">
        <is>
          <t>上海市宝山区吴淞街道
海滨二村10号302室</t>
        </is>
      </c>
      <c r="AB8" s="82" t="n">
        <v>19921966953</v>
      </c>
      <c r="AC8" s="546" t="inlineStr">
        <is>
          <t>310113199508281415</t>
        </is>
      </c>
      <c r="AD8" s="546" t="inlineStr">
        <is>
          <t>6217001210021224835</t>
        </is>
      </c>
      <c r="AE8" s="532" t="inlineStr">
        <is>
          <t>中国建设银行</t>
        </is>
      </c>
      <c r="AF8" s="532" t="n"/>
      <c r="AG8" s="532" t="inlineStr">
        <is>
          <t>是</t>
        </is>
      </c>
      <c r="AH8" s="547" t="inlineStr">
        <is>
          <t>第一次合同：1年：2024/1/31-2025/1/30
第二次合同：2年：2025/1/31-2027/1/30</t>
        </is>
      </c>
      <c r="AI8" s="82">
        <f>DATEDIF(--TEXT(MID(AC8,7,8),"0-00-00"),TODAY(),"y")</f>
        <v/>
      </c>
      <c r="AJ8" s="548">
        <f>TEXT(MID(AC8,7,8),"0000-00-00")</f>
        <v/>
      </c>
      <c r="AK8" s="95">
        <f>CHOOSE(MONTH(AJ8),1,1,1,2,2,2,3,3,3,4,4,4)</f>
        <v/>
      </c>
    </row>
    <row r="9" customFormat="1" s="532">
      <c r="A9" s="82" t="n">
        <v>5</v>
      </c>
      <c r="B9" s="541" t="inlineStr">
        <is>
          <t>吴学艺</t>
        </is>
      </c>
      <c r="C9" s="541" t="inlineStr">
        <is>
          <t>北京文石</t>
        </is>
      </c>
      <c r="D9" s="541" t="inlineStr">
        <is>
          <t>男</t>
        </is>
      </c>
      <c r="E9" s="532">
        <f>12000+1800</f>
        <v/>
      </c>
      <c r="F9" s="541" t="inlineStr">
        <is>
          <t>工资9600/12k无任何补贴
2024年12月涨薪1800 
工资是12000+1800=13800</t>
        </is>
      </c>
      <c r="G9" s="541" t="inlineStr">
        <is>
          <t>2份合同都材料齐全
已回寄员工</t>
        </is>
      </c>
      <c r="H9" s="532" t="inlineStr">
        <is>
          <t>智能驾驶车辆改装工程师</t>
        </is>
      </c>
      <c r="I9" s="533" t="n">
        <v>45341</v>
      </c>
      <c r="J9" s="533" t="inlineStr">
        <is>
          <t>/</t>
        </is>
      </c>
      <c r="K9" s="533" t="n">
        <v>45430</v>
      </c>
      <c r="L9" s="534" t="n">
        <v>45352</v>
      </c>
      <c r="M9" s="532" t="inlineStr">
        <is>
          <t>北京</t>
        </is>
      </c>
      <c r="N9" s="532" t="inlineStr">
        <is>
          <t>北京</t>
        </is>
      </c>
      <c r="O9" s="532" t="n">
        <v>9600</v>
      </c>
      <c r="P9" s="532" t="n">
        <v>12000</v>
      </c>
      <c r="Q9" s="532" t="n">
        <v>0</v>
      </c>
      <c r="R9" s="532" t="n">
        <v>0</v>
      </c>
      <c r="S9" s="532" t="n">
        <v>0</v>
      </c>
      <c r="T9" s="541" t="inlineStr">
        <is>
          <t>第一次合同：1年：
2024/2/19-2025/2/18
第二次合同：2年：
2025/2/19-2027/2/18</t>
        </is>
      </c>
      <c r="U9" s="532" t="inlineStr">
        <is>
          <t>3个月</t>
        </is>
      </c>
      <c r="V9" s="532" t="inlineStr">
        <is>
          <t>机电一体化技术</t>
        </is>
      </c>
      <c r="W9" s="533" t="inlineStr">
        <is>
          <t>2012-2015</t>
        </is>
      </c>
      <c r="X9" s="532" t="inlineStr">
        <is>
          <t>大专</t>
        </is>
      </c>
      <c r="Y9" s="545" t="inlineStr">
        <is>
          <t>1933808743@qq.com</t>
        </is>
      </c>
      <c r="Z9" s="541" t="inlineStr">
        <is>
          <t>河北省张家口市赤城县
独石口镇水磨村头堡路东5号</t>
        </is>
      </c>
      <c r="AA9" s="541" t="inlineStr">
        <is>
          <t>北京海淀区翠湖科技园3号院19号楼 地平线前台
吴学艺13011252624
北京市昌平区城南街道旧县村</t>
        </is>
      </c>
      <c r="AB9" s="82" t="n">
        <v>13011252624</v>
      </c>
      <c r="AC9" s="546" t="inlineStr">
        <is>
          <t>130732199411080850</t>
        </is>
      </c>
      <c r="AD9" s="546" t="inlineStr">
        <is>
          <t>6215340300006001680</t>
        </is>
      </c>
      <c r="AE9" s="532" t="inlineStr">
        <is>
          <t>中国建设银行</t>
        </is>
      </c>
      <c r="AF9" s="532" t="n"/>
      <c r="AG9" s="532" t="inlineStr">
        <is>
          <t>是</t>
        </is>
      </c>
      <c r="AH9" s="547" t="inlineStr">
        <is>
          <t>第一次合同：1年：2024/2/19-2025/2/18
第二次合同：2年：2025/2/19-2027/2/18</t>
        </is>
      </c>
      <c r="AI9" s="82">
        <f>DATEDIF(--TEXT(MID(AC9,7,8),"0-00-00"),TODAY(),"y")</f>
        <v/>
      </c>
      <c r="AJ9" s="548">
        <f>TEXT(MID(AC9,7,8),"0000-00-00")</f>
        <v/>
      </c>
      <c r="AK9" s="95">
        <f>CHOOSE(MONTH(AJ9),1,1,1,2,2,2,3,3,3,4,4,4)</f>
        <v/>
      </c>
    </row>
    <row r="10" customFormat="1" s="532">
      <c r="A10" s="82" t="n">
        <v>6</v>
      </c>
      <c r="B10" s="541" t="inlineStr">
        <is>
          <t>窦振伟</t>
        </is>
      </c>
      <c r="C10" s="541" t="inlineStr">
        <is>
          <t>邦芒</t>
        </is>
      </c>
      <c r="D10" s="541" t="inlineStr">
        <is>
          <t>男</t>
        </is>
      </c>
      <c r="E10" s="532">
        <f>12500+2800+1700</f>
        <v/>
      </c>
      <c r="F10" s="541" t="inlineStr">
        <is>
          <t>工资10000/12.5k无任何补贴
从24年8月开始每月有1000元住房补贴
2024年12月涨薪1800
目前工资=12500+2800=15300
2025年5月起最终涨薪至17000元。</t>
        </is>
      </c>
      <c r="G10" s="541" t="inlineStr">
        <is>
          <t>材料齐全
已回寄员工</t>
        </is>
      </c>
      <c r="H10" s="532" t="inlineStr">
        <is>
          <t>智能驾驶车辆改装工程师</t>
        </is>
      </c>
      <c r="I10" s="533" t="n">
        <v>45343</v>
      </c>
      <c r="J10" s="533" t="inlineStr">
        <is>
          <t>/</t>
        </is>
      </c>
      <c r="K10" s="533" t="n">
        <v>45432</v>
      </c>
      <c r="L10" s="534" t="n">
        <v>45352</v>
      </c>
      <c r="M10" s="532" t="inlineStr">
        <is>
          <t>上海</t>
        </is>
      </c>
      <c r="N10" s="532" t="inlineStr">
        <is>
          <t>上海</t>
        </is>
      </c>
      <c r="O10" s="532" t="n">
        <v>10000</v>
      </c>
      <c r="P10" s="532" t="n">
        <v>12500</v>
      </c>
      <c r="Q10" s="532" t="n">
        <v>0</v>
      </c>
      <c r="R10" s="532" t="n">
        <v>0</v>
      </c>
      <c r="S10" s="532" t="n">
        <v>0</v>
      </c>
      <c r="T10" s="541" t="inlineStr">
        <is>
          <t>第一次合同：3年：
2024/2/21-2027/2/21</t>
        </is>
      </c>
      <c r="U10" s="532" t="inlineStr">
        <is>
          <t>3个月</t>
        </is>
      </c>
      <c r="V10" s="532" t="inlineStr">
        <is>
          <t>机电一体化技术</t>
        </is>
      </c>
      <c r="W10" s="533" t="inlineStr">
        <is>
          <t>2021-2024</t>
        </is>
      </c>
      <c r="X10" s="532" t="inlineStr">
        <is>
          <t>大专</t>
        </is>
      </c>
      <c r="Y10" s="532" t="inlineStr">
        <is>
          <t>douzhenwei@icloud.com</t>
        </is>
      </c>
      <c r="Z10" s="532" t="inlineStr">
        <is>
          <t>安徽省六安市叶集区洪集镇牌坊店村上岗组</t>
        </is>
      </c>
      <c r="AA10" s="541" t="inlineStr">
        <is>
          <t xml:space="preserve">
上海市嘉定区安亭镇杨木桥村快递柜
17621007572</t>
        </is>
      </c>
      <c r="AB10" s="82" t="n">
        <v>17621007572</v>
      </c>
      <c r="AC10" s="546" t="inlineStr">
        <is>
          <t>342423199601012312</t>
        </is>
      </c>
      <c r="AD10" s="546" t="inlineStr">
        <is>
          <t>6217001780018295824</t>
        </is>
      </c>
      <c r="AE10" s="532" t="inlineStr">
        <is>
          <t>中国建设银行</t>
        </is>
      </c>
      <c r="AF10" s="532" t="n"/>
      <c r="AG10" s="532" t="inlineStr">
        <is>
          <t>是</t>
        </is>
      </c>
      <c r="AH10" s="547" t="inlineStr">
        <is>
          <t>第一次合同：3年：2024/2/21-2027/2/21</t>
        </is>
      </c>
      <c r="AI10" s="82">
        <f>DATEDIF(--TEXT(MID(AC10,7,8),"0-00-00"),TODAY(),"y")</f>
        <v/>
      </c>
      <c r="AJ10" s="548">
        <f>TEXT(MID(AC10,7,8),"0000-00-00")</f>
        <v/>
      </c>
      <c r="AK10" s="95">
        <f>CHOOSE(MONTH(AJ10),1,1,1,2,2,2,3,3,3,4,4,4)</f>
        <v/>
      </c>
    </row>
    <row r="11" customFormat="1" s="532">
      <c r="A11" s="82" t="n">
        <v>7</v>
      </c>
      <c r="B11" s="532" t="inlineStr">
        <is>
          <t>王风雄</t>
        </is>
      </c>
      <c r="C11" s="541" t="inlineStr">
        <is>
          <t>北京文石</t>
        </is>
      </c>
      <c r="D11" s="541" t="inlineStr">
        <is>
          <t>男</t>
        </is>
      </c>
      <c r="E11" s="532" t="n">
        <v>12500</v>
      </c>
      <c r="F11" s="541" t="inlineStr">
        <is>
          <t>工资10000/12.5k无任何补贴</t>
        </is>
      </c>
      <c r="G11" s="541" t="inlineStr">
        <is>
          <t>材料齐全
已回寄员工</t>
        </is>
      </c>
      <c r="H11" s="532" t="inlineStr">
        <is>
          <t>智能驾驶车辆改装工程师</t>
        </is>
      </c>
      <c r="I11" s="533" t="n">
        <v>45348</v>
      </c>
      <c r="J11" s="533" t="inlineStr">
        <is>
          <t>/</t>
        </is>
      </c>
      <c r="K11" s="533" t="n">
        <v>45437</v>
      </c>
      <c r="L11" s="534" t="n">
        <v>45352</v>
      </c>
      <c r="M11" s="532" t="inlineStr">
        <is>
          <t>北京</t>
        </is>
      </c>
      <c r="N11" s="532" t="inlineStr">
        <is>
          <t>北京</t>
        </is>
      </c>
      <c r="O11" s="532" t="n">
        <v>10000</v>
      </c>
      <c r="P11" s="532" t="n">
        <v>12500</v>
      </c>
      <c r="Q11" s="532" t="n">
        <v>0</v>
      </c>
      <c r="R11" s="532" t="n">
        <v>0</v>
      </c>
      <c r="S11" s="532" t="n">
        <v>0</v>
      </c>
      <c r="T11" s="541" t="inlineStr">
        <is>
          <t>第一次合同：3年：
2024/2/26-2027/2/25</t>
        </is>
      </c>
      <c r="U11" s="532" t="inlineStr">
        <is>
          <t>3个月</t>
        </is>
      </c>
      <c r="V11" s="532" t="inlineStr">
        <is>
          <t>大数据技术</t>
        </is>
      </c>
      <c r="W11" s="533" t="n">
        <v>39995</v>
      </c>
      <c r="X11" s="532" t="inlineStr">
        <is>
          <t>大专</t>
        </is>
      </c>
      <c r="Y11" s="545" t="inlineStr">
        <is>
          <t xml:space="preserve">1066169451@qq.com  </t>
        </is>
      </c>
      <c r="Z11" s="541" t="inlineStr">
        <is>
          <t>河北省南宫市高村镇
古家庄212号</t>
        </is>
      </c>
      <c r="AA11" s="541" t="inlineStr">
        <is>
          <t xml:space="preserve">
北京市海淀区苏家坨镇聂各庄村 
18730681752</t>
        </is>
      </c>
      <c r="AB11" s="82" t="n">
        <v>18730681752</v>
      </c>
      <c r="AC11" s="546" t="inlineStr">
        <is>
          <t>132201199206092879</t>
        </is>
      </c>
      <c r="AD11" s="546" t="inlineStr">
        <is>
          <t>6217000010165354047</t>
        </is>
      </c>
      <c r="AE11" s="532" t="inlineStr">
        <is>
          <t>中国建设银行</t>
        </is>
      </c>
      <c r="AF11" s="532" t="n"/>
      <c r="AG11" s="532" t="inlineStr">
        <is>
          <t>是</t>
        </is>
      </c>
      <c r="AH11" s="547" t="inlineStr">
        <is>
          <t>第一次合同：3年：2024/2/26-2027/2/25</t>
        </is>
      </c>
      <c r="AI11" s="82">
        <f>DATEDIF(--TEXT(MID(AC11,7,8),"0-00-00"),TODAY(),"y")</f>
        <v/>
      </c>
      <c r="AJ11" s="548">
        <f>TEXT(MID(AC11,7,8),"0000-00-00")</f>
        <v/>
      </c>
      <c r="AK11" s="95">
        <f>CHOOSE(MONTH(AJ11),1,1,1,2,2,2,3,3,3,4,4,4)</f>
        <v/>
      </c>
    </row>
    <row r="12" customFormat="1" s="532">
      <c r="A12" s="82" t="n">
        <v>8</v>
      </c>
      <c r="B12" s="541" t="inlineStr">
        <is>
          <t>孙存浩</t>
        </is>
      </c>
      <c r="C12" s="541" t="inlineStr">
        <is>
          <t>南京文石</t>
        </is>
      </c>
      <c r="D12" s="541" t="inlineStr">
        <is>
          <t>男</t>
        </is>
      </c>
      <c r="E12" s="532" t="n">
        <v>13500</v>
      </c>
      <c r="F12" s="541" t="inlineStr">
        <is>
          <t>工资10800/13.5k无任何补贴</t>
        </is>
      </c>
      <c r="G12" s="541" t="inlineStr">
        <is>
          <t>offer已发
已入职
缺：体检报告+录用通知书，其他电子版
 材料已回寄员工
2025/1/24 1/27使用年假2天</t>
        </is>
      </c>
      <c r="H12" s="532" t="inlineStr">
        <is>
          <t>前端开发工程师</t>
        </is>
      </c>
      <c r="I12" s="533" t="n">
        <v>45357</v>
      </c>
      <c r="J12" s="533" t="inlineStr">
        <is>
          <t>/</t>
        </is>
      </c>
      <c r="K12" s="533" t="n">
        <v>45448</v>
      </c>
      <c r="L12" s="534" t="n">
        <v>45352</v>
      </c>
      <c r="M12" s="532" t="inlineStr">
        <is>
          <t>南京</t>
        </is>
      </c>
      <c r="N12" s="532" t="inlineStr">
        <is>
          <t>南京</t>
        </is>
      </c>
      <c r="O12" s="532" t="n">
        <v>10800</v>
      </c>
      <c r="P12" s="532" t="n">
        <v>13500</v>
      </c>
      <c r="Q12" s="532" t="n">
        <v>0</v>
      </c>
      <c r="R12" s="532" t="n">
        <v>0</v>
      </c>
      <c r="S12" s="532" t="n">
        <v>0</v>
      </c>
      <c r="T12" s="541" t="inlineStr">
        <is>
          <t>第一次合同：3年：
2024/3/6-2027/3/5</t>
        </is>
      </c>
      <c r="U12" s="532" t="inlineStr">
        <is>
          <t>3个月</t>
        </is>
      </c>
      <c r="V12" s="532" t="inlineStr">
        <is>
          <t>软件工程</t>
        </is>
      </c>
      <c r="W12" s="533" t="inlineStr">
        <is>
          <t>员工有</t>
        </is>
      </c>
      <c r="X12" s="532" t="inlineStr">
        <is>
          <t>大专</t>
        </is>
      </c>
      <c r="Y12" s="532" t="inlineStr">
        <is>
          <t>2583171882@qq.com</t>
        </is>
      </c>
      <c r="Z12" s="532" t="inlineStr">
        <is>
          <t>江苏省涟水县灰墩办事处南元村孙庄组15号</t>
        </is>
      </c>
      <c r="AA12" s="541" t="inlineStr">
        <is>
          <t>江苏省南京市玄武区玄武湖街道
 仙居华庭38号楼505</t>
        </is>
      </c>
      <c r="AB12" s="82" t="n">
        <v>17761837356</v>
      </c>
      <c r="AC12" s="546" t="inlineStr">
        <is>
          <t>320826199707014012</t>
        </is>
      </c>
      <c r="AD12" s="546" t="inlineStr">
        <is>
          <t>6217001180081015326</t>
        </is>
      </c>
      <c r="AE12" s="532" t="inlineStr">
        <is>
          <t>中国建设银行</t>
        </is>
      </c>
      <c r="AF12" s="532" t="n"/>
      <c r="AG12" s="532" t="inlineStr">
        <is>
          <t>是</t>
        </is>
      </c>
      <c r="AH12" s="547" t="inlineStr">
        <is>
          <t>第一次合同：3年：2024/3/6-2027/3/5</t>
        </is>
      </c>
      <c r="AI12" s="82">
        <f>DATEDIF(--TEXT(MID(AC12,7,8),"0-00-00"),TODAY(),"y")</f>
        <v/>
      </c>
      <c r="AJ12" s="548">
        <f>TEXT(MID(AC12,7,8),"0000-00-00")</f>
        <v/>
      </c>
      <c r="AK12" s="95">
        <f>CHOOSE(MONTH(AJ12),1,1,1,2,2,2,3,3,3,4,4,4)</f>
        <v/>
      </c>
    </row>
    <row r="13" customFormat="1" s="549">
      <c r="A13" s="197" t="n">
        <v>11</v>
      </c>
      <c r="B13" s="550" t="inlineStr">
        <is>
          <t>陈成科
（2024.6.21已
离职）</t>
        </is>
      </c>
      <c r="C13" s="550" t="inlineStr">
        <is>
          <t>/</t>
        </is>
      </c>
      <c r="D13" s="550" t="inlineStr">
        <is>
          <t>男</t>
        </is>
      </c>
      <c r="E13" s="549" t="n">
        <v>12000</v>
      </c>
      <c r="F13" s="550" t="inlineStr">
        <is>
          <t xml:space="preserve">工资9600/12k无任何和补贴
</t>
        </is>
      </c>
      <c r="G13" s="550" t="inlineStr">
        <is>
          <t>材料齐全
未回寄员工，无需回寄员工因为已经离职</t>
        </is>
      </c>
      <c r="H13" s="549" t="inlineStr">
        <is>
          <t>智能驾驶车辆改装工程师</t>
        </is>
      </c>
      <c r="I13" s="551" t="n">
        <v>45362</v>
      </c>
      <c r="J13" s="552" t="inlineStr">
        <is>
          <t>2024.6.21已
主动离职，
离职证明已开</t>
        </is>
      </c>
      <c r="K13" s="551" t="n">
        <v>45453</v>
      </c>
      <c r="L13" s="553" t="n">
        <v>45352</v>
      </c>
      <c r="M13" s="549" t="inlineStr">
        <is>
          <t>上海</t>
        </is>
      </c>
      <c r="N13" s="549" t="inlineStr">
        <is>
          <t>上海</t>
        </is>
      </c>
      <c r="O13" s="554" t="n">
        <v>9600</v>
      </c>
      <c r="P13" s="554" t="n">
        <v>12000</v>
      </c>
      <c r="Q13" s="532" t="n">
        <v>0</v>
      </c>
      <c r="R13" s="532" t="n">
        <v>0</v>
      </c>
      <c r="S13" s="532" t="n">
        <v>0</v>
      </c>
      <c r="T13" s="550" t="inlineStr">
        <is>
          <t>第一次合同：1年：
2024/3/11-2025/3/10</t>
        </is>
      </c>
      <c r="U13" s="549" t="inlineStr">
        <is>
          <t>3个月</t>
        </is>
      </c>
      <c r="V13" s="549" t="inlineStr">
        <is>
          <t>汽车检测与维修技术</t>
        </is>
      </c>
      <c r="W13" s="551" t="n">
        <v>42795</v>
      </c>
      <c r="X13" s="549" t="inlineStr">
        <is>
          <t>大专</t>
        </is>
      </c>
      <c r="Y13" s="557" t="inlineStr">
        <is>
          <t>1207342952@qq.com</t>
        </is>
      </c>
      <c r="Z13" s="550" t="inlineStr">
        <is>
          <t>上海市嘉定区黄渡镇美丽华度假村联体别墅25号楼</t>
        </is>
      </c>
      <c r="AA13" s="550" t="inlineStr">
        <is>
          <t>河北省邢台市临城县郝
庄镇官都村206号</t>
        </is>
      </c>
      <c r="AB13" s="197" t="n">
        <v>15630168906</v>
      </c>
      <c r="AC13" s="556" t="inlineStr">
        <is>
          <t>130522199611072413</t>
        </is>
      </c>
      <c r="AD13" s="556" t="inlineStr">
        <is>
          <t>6217000130072848442</t>
        </is>
      </c>
      <c r="AE13" s="549" t="inlineStr">
        <is>
          <t>中国建设银行</t>
        </is>
      </c>
      <c r="AG13" s="549" t="inlineStr">
        <is>
          <t>否</t>
        </is>
      </c>
      <c r="AH13" s="551" t="inlineStr">
        <is>
          <t>离职啦</t>
        </is>
      </c>
      <c r="AI13" s="82">
        <f>DATEDIF(--TEXT(MID(AC13,7,8),"0-00-00"),TODAY(),"y")</f>
        <v/>
      </c>
      <c r="AJ13" s="548">
        <f>TEXT(MID(AC13,7,8),"0000-00-00")</f>
        <v/>
      </c>
      <c r="AK13" s="95">
        <f>CHOOSE(MONTH(AJ13),1,1,1,2,2,2,3,3,3,4,4,4)</f>
        <v/>
      </c>
    </row>
    <row r="14" customFormat="1" s="532">
      <c r="A14" s="82" t="n">
        <v>9</v>
      </c>
      <c r="B14" s="541" t="inlineStr">
        <is>
          <t>向凌波</t>
        </is>
      </c>
      <c r="C14" s="541" t="inlineStr">
        <is>
          <t>上海文石</t>
        </is>
      </c>
      <c r="D14" s="541" t="inlineStr">
        <is>
          <t>男</t>
        </is>
      </c>
      <c r="E14" s="532">
        <f>19000+1500</f>
        <v/>
      </c>
      <c r="F14" s="541" t="inlineStr">
        <is>
          <t>工资15200/19000  试用期9折
实际为：17100/19000，2025年5月起最终涨薪至20500元。
无任何补贴，无其他费用，试用期1个月</t>
        </is>
      </c>
      <c r="G14" s="541" t="inlineStr">
        <is>
          <t>资料缺录取通知书+信息登记表
材料已回寄员工</t>
        </is>
      </c>
      <c r="H14" s="541" t="inlineStr">
        <is>
          <t>上海-土星PDU-测试部-
自动驾驶测试开发工程师（算法）</t>
        </is>
      </c>
      <c r="I14" s="533" t="n">
        <v>45362</v>
      </c>
      <c r="J14" s="533" t="inlineStr">
        <is>
          <t>/</t>
        </is>
      </c>
      <c r="K14" s="533" t="n">
        <v>45397</v>
      </c>
      <c r="L14" s="534" t="n">
        <v>45352</v>
      </c>
      <c r="M14" s="532" t="inlineStr">
        <is>
          <t>上海</t>
        </is>
      </c>
      <c r="N14" s="532" t="inlineStr">
        <is>
          <t>上海</t>
        </is>
      </c>
      <c r="O14" s="532" t="n">
        <v>15200</v>
      </c>
      <c r="P14" s="532" t="n">
        <v>19000</v>
      </c>
      <c r="Q14" s="532" t="n">
        <v>0</v>
      </c>
      <c r="R14" s="532" t="n">
        <v>0</v>
      </c>
      <c r="S14" s="532" t="n">
        <v>0</v>
      </c>
      <c r="T14" s="541" t="inlineStr">
        <is>
          <t>第一次合同：3年：
2024/3/11-2027/3/11</t>
        </is>
      </c>
      <c r="U14" s="532" t="inlineStr">
        <is>
          <t>3个月</t>
        </is>
      </c>
      <c r="V14" s="532" t="inlineStr">
        <is>
          <t>空中乘务</t>
        </is>
      </c>
      <c r="W14" s="533" t="n">
        <v>44007</v>
      </c>
      <c r="X14" s="532" t="inlineStr">
        <is>
          <t>2.5年业余</t>
        </is>
      </c>
      <c r="Y14" s="541" t="inlineStr">
        <is>
          <t>1714397715@qq.com
lingboxiang31@gmail.com</t>
        </is>
      </c>
      <c r="Z14" s="541" t="inlineStr">
        <is>
          <t>重庆市石柱县难宾街道城
北路200号</t>
        </is>
      </c>
      <c r="AA14" s="541" t="inlineStr">
        <is>
          <t>昆山市兆丰路11号凯德都会新峰18栋二单元180</t>
        </is>
      </c>
      <c r="AB14" s="82" t="n">
        <v>17623179795</v>
      </c>
      <c r="AC14" s="546" t="inlineStr">
        <is>
          <t>500240199910140397</t>
        </is>
      </c>
      <c r="AD14" s="546" t="inlineStr">
        <is>
          <t>6217001180079579358</t>
        </is>
      </c>
      <c r="AE14" s="532" t="inlineStr">
        <is>
          <t>中国建设银行</t>
        </is>
      </c>
      <c r="AG14" s="532" t="inlineStr">
        <is>
          <t>是</t>
        </is>
      </c>
      <c r="AH14" s="533" t="inlineStr">
        <is>
          <t>第一次合同：3年：2024/3/11-2027/3/11</t>
        </is>
      </c>
      <c r="AI14" s="82">
        <f>DATEDIF(--TEXT(MID(AC14,7,8),"0-00-00"),TODAY(),"y")</f>
        <v/>
      </c>
      <c r="AJ14" s="548">
        <f>TEXT(MID(AC14,7,8),"0000-00-00")</f>
        <v/>
      </c>
      <c r="AK14" s="95">
        <f>CHOOSE(MONTH(AJ14),1,1,1,2,2,2,3,3,3,4,4,4)</f>
        <v/>
      </c>
    </row>
    <row r="15" customFormat="1" s="532">
      <c r="A15" s="82" t="n">
        <v>10</v>
      </c>
      <c r="B15" s="541" t="inlineStr">
        <is>
          <t>刘郴</t>
        </is>
      </c>
      <c r="C15" s="541" t="inlineStr">
        <is>
          <t>北京文石</t>
        </is>
      </c>
      <c r="D15" s="541" t="inlineStr">
        <is>
          <t>男</t>
        </is>
      </c>
      <c r="E15" s="532">
        <f>16000+1800</f>
        <v/>
      </c>
      <c r="F15" s="541" t="inlineStr">
        <is>
          <t xml:space="preserve">工资12800/16000 ，2025年5月起最终涨薪至17800元。
无任何补贴，无其他费用
</t>
        </is>
      </c>
      <c r="G15" s="541" t="inlineStr">
        <is>
          <t>材料齐全
已回寄员工
2025/3/26借款1w,已打款，员工2025年6月7日已还款完毕</t>
        </is>
      </c>
      <c r="H15" s="541" t="inlineStr">
        <is>
          <t>自动驾驶实车
系统验证工程师</t>
        </is>
      </c>
      <c r="I15" s="533" t="n">
        <v>45362</v>
      </c>
      <c r="J15" s="533" t="inlineStr">
        <is>
          <t>/</t>
        </is>
      </c>
      <c r="K15" s="533" t="n">
        <v>45453</v>
      </c>
      <c r="L15" s="534" t="n">
        <v>45352</v>
      </c>
      <c r="M15" s="532" t="inlineStr">
        <is>
          <t>北京</t>
        </is>
      </c>
      <c r="N15" s="532" t="inlineStr">
        <is>
          <t>北京</t>
        </is>
      </c>
      <c r="O15" s="532" t="n">
        <v>12800</v>
      </c>
      <c r="P15" s="532" t="n">
        <v>16000</v>
      </c>
      <c r="Q15" s="532" t="n">
        <v>0</v>
      </c>
      <c r="R15" s="532" t="n">
        <v>0</v>
      </c>
      <c r="S15" s="532" t="n">
        <v>0</v>
      </c>
      <c r="T15" s="541" t="inlineStr">
        <is>
          <t>第一次合同：3年：
2024/3/11-2027/3/10</t>
        </is>
      </c>
      <c r="U15" s="532" t="inlineStr">
        <is>
          <t>3个月</t>
        </is>
      </c>
      <c r="V15" s="532" t="inlineStr">
        <is>
          <t>计算机科学与技术</t>
        </is>
      </c>
      <c r="W15" s="533" t="n">
        <v>44013</v>
      </c>
      <c r="X15" s="532" t="inlineStr">
        <is>
          <t xml:space="preserve"> 本科</t>
        </is>
      </c>
      <c r="Y15" s="532" t="inlineStr">
        <is>
          <t>13107177919@163.com</t>
        </is>
      </c>
      <c r="Z15" s="541" t="inlineStr">
        <is>
          <t>湖南省桃花县大栗港牌形
上村村名组076号</t>
        </is>
      </c>
      <c r="AA15" s="541" t="inlineStr">
        <is>
          <t xml:space="preserve">北京市海淀区苏家坨镇
聂各庄村 </t>
        </is>
      </c>
      <c r="AB15" s="82" t="n">
        <v>13107177919</v>
      </c>
      <c r="AC15" s="546" t="inlineStr">
        <is>
          <t>430922200110054514</t>
        </is>
      </c>
      <c r="AD15" s="546" t="inlineStr">
        <is>
          <t>6215340303714908857</t>
        </is>
      </c>
      <c r="AE15" s="532" t="inlineStr">
        <is>
          <t>中国建设银行</t>
        </is>
      </c>
      <c r="AF15" s="532" t="n"/>
      <c r="AG15" s="532" t="inlineStr">
        <is>
          <t>是</t>
        </is>
      </c>
      <c r="AH15" s="547" t="inlineStr">
        <is>
          <t>第一次合同：3年：2024/3/11-2027/3/10</t>
        </is>
      </c>
      <c r="AI15" s="82">
        <f>DATEDIF(--TEXT(MID(AC15,7,8),"0-00-00"),TODAY(),"y")</f>
        <v/>
      </c>
      <c r="AJ15" s="548">
        <f>TEXT(MID(AC15,7,8),"0000-00-00")</f>
        <v/>
      </c>
      <c r="AK15" s="95">
        <f>CHOOSE(MONTH(AJ15),1,1,1,2,2,2,3,3,3,4,4,4)</f>
        <v/>
      </c>
    </row>
    <row r="16" customFormat="1" s="532">
      <c r="A16" s="82" t="n">
        <v>11</v>
      </c>
      <c r="B16" s="541" t="inlineStr">
        <is>
          <t>方强强</t>
        </is>
      </c>
      <c r="C16" s="541" t="inlineStr">
        <is>
          <t>上海文石</t>
        </is>
      </c>
      <c r="D16" s="541" t="inlineStr">
        <is>
          <t>男</t>
        </is>
      </c>
      <c r="E16" s="532">
        <f>16500+1500</f>
        <v/>
      </c>
      <c r="F16" s="541" t="inlineStr">
        <is>
          <t>工资13200/16500，2025年5月起最终涨薪至18000元。无任何补贴，
无其他费用</t>
        </is>
      </c>
      <c r="G16" s="541" t="inlineStr">
        <is>
          <t>材料齐全
已回寄员工</t>
        </is>
      </c>
      <c r="H16" s="532" t="inlineStr">
        <is>
          <t>智能驾驶标定工程师</t>
        </is>
      </c>
      <c r="I16" s="533" t="n">
        <v>45369</v>
      </c>
      <c r="J16" s="533" t="inlineStr">
        <is>
          <t>/</t>
        </is>
      </c>
      <c r="K16" s="533" t="n">
        <v>45460</v>
      </c>
      <c r="L16" s="534" t="n">
        <v>45383</v>
      </c>
      <c r="M16" s="532" t="inlineStr">
        <is>
          <t>上海</t>
        </is>
      </c>
      <c r="N16" s="532" t="inlineStr">
        <is>
          <t>上海</t>
        </is>
      </c>
      <c r="O16" s="532" t="n">
        <v>13200</v>
      </c>
      <c r="P16" s="532" t="n">
        <v>16500</v>
      </c>
      <c r="Q16" s="532" t="n">
        <v>0</v>
      </c>
      <c r="R16" s="532" t="n">
        <v>0</v>
      </c>
      <c r="S16" s="532" t="n">
        <v>0</v>
      </c>
      <c r="T16" s="541" t="inlineStr">
        <is>
          <t>第一次合同：3年：
2024/3/18-2027/3/17</t>
        </is>
      </c>
      <c r="U16" s="532" t="inlineStr">
        <is>
          <t>3个月</t>
        </is>
      </c>
      <c r="V16" s="532" t="inlineStr">
        <is>
          <t>计算机科学与技术</t>
        </is>
      </c>
      <c r="W16" s="533" t="n">
        <v>42917</v>
      </c>
      <c r="X16" s="532" t="inlineStr">
        <is>
          <t>大专</t>
        </is>
      </c>
      <c r="Y16" s="545" t="inlineStr">
        <is>
          <t>fangxy_121@163.com</t>
        </is>
      </c>
      <c r="Z16" s="541" t="inlineStr">
        <is>
          <t>安徽省阜南县段郢乡八里村前八里22号</t>
        </is>
      </c>
      <c r="AA16" s="541" t="inlineStr">
        <is>
          <t>上海市 嘉定区 安亭镇 创新港 8号楼 方强强  15001240381</t>
        </is>
      </c>
      <c r="AB16" s="82" t="n">
        <v>15001240381</v>
      </c>
      <c r="AC16" s="546" t="inlineStr">
        <is>
          <t xml:space="preserve">341225199509106317 </t>
        </is>
      </c>
      <c r="AD16" s="546" t="inlineStr">
        <is>
          <t>6217000010056570461</t>
        </is>
      </c>
      <c r="AE16" s="532" t="inlineStr">
        <is>
          <t>中国建设银行</t>
        </is>
      </c>
      <c r="AF16" s="532" t="n"/>
      <c r="AG16" s="532" t="inlineStr">
        <is>
          <t>是</t>
        </is>
      </c>
      <c r="AH16" s="547" t="inlineStr">
        <is>
          <t>第一次合同：3年：2024/3/18-2027/3/17</t>
        </is>
      </c>
      <c r="AI16" s="82">
        <f>DATEDIF(--TEXT(MID(AC16,7,8),"0-00-00"),TODAY(),"y")</f>
        <v/>
      </c>
      <c r="AJ16" s="548">
        <f>TEXT(MID(AC16,7,8),"0000-00-00")</f>
        <v/>
      </c>
      <c r="AK16" s="95">
        <f>CHOOSE(MONTH(AJ16),1,1,1,2,2,2,3,3,3,4,4,4)</f>
        <v/>
      </c>
    </row>
    <row r="17" customFormat="1" s="532">
      <c r="A17" s="82" t="n">
        <v>12</v>
      </c>
      <c r="B17" s="541" t="inlineStr">
        <is>
          <t>马威</t>
        </is>
      </c>
      <c r="C17" s="541" t="inlineStr">
        <is>
          <t>上海文石</t>
        </is>
      </c>
      <c r="D17" s="541" t="inlineStr">
        <is>
          <t>男</t>
        </is>
      </c>
      <c r="E17" s="532">
        <f>16000+3000+1000</f>
        <v/>
      </c>
      <c r="F17" s="541" t="inlineStr">
        <is>
          <t>工资12800/16000 ，
(2024年11月开始涨薪3000/月)
目前工资16000+3000=19000
2025年5月起最终涨薪至20000元。</t>
        </is>
      </c>
      <c r="G17" s="541" t="inlineStr">
        <is>
          <t>材料齐全
已回寄员工</t>
        </is>
      </c>
      <c r="H17" s="532" t="inlineStr">
        <is>
          <t>HMI集成测试工程师</t>
        </is>
      </c>
      <c r="I17" s="533" t="n">
        <v>45364</v>
      </c>
      <c r="J17" s="533" t="inlineStr">
        <is>
          <t>/</t>
        </is>
      </c>
      <c r="K17" s="533" t="n">
        <v>45455</v>
      </c>
      <c r="L17" s="534" t="n">
        <v>45352</v>
      </c>
      <c r="M17" s="532" t="inlineStr">
        <is>
          <t>上海</t>
        </is>
      </c>
      <c r="N17" s="532" t="inlineStr">
        <is>
          <t>上海</t>
        </is>
      </c>
      <c r="O17" s="532" t="n">
        <v>12800</v>
      </c>
      <c r="P17" s="532" t="n">
        <v>16000</v>
      </c>
      <c r="Q17" s="532" t="n">
        <v>0</v>
      </c>
      <c r="R17" s="532" t="n">
        <v>0</v>
      </c>
      <c r="S17" s="532" t="n">
        <v>0</v>
      </c>
      <c r="T17" s="541" t="inlineStr">
        <is>
          <t>第一次合同：3年：
2024/3/13-2027/3/12</t>
        </is>
      </c>
      <c r="U17" s="532" t="inlineStr">
        <is>
          <t>3个月</t>
        </is>
      </c>
      <c r="V17" s="532" t="inlineStr">
        <is>
          <t>计算机软件技术</t>
        </is>
      </c>
      <c r="W17" s="533" t="n">
        <v>41821</v>
      </c>
      <c r="X17" s="532" t="inlineStr">
        <is>
          <t>本科</t>
        </is>
      </c>
      <c r="Y17" s="532" t="inlineStr">
        <is>
          <t xml:space="preserve"> 412529680@qq.com</t>
        </is>
      </c>
      <c r="Z17" s="541" t="inlineStr">
        <is>
          <t>河南省项城市丁集镇师庄河南省项城市丁集镇师庄</t>
        </is>
      </c>
      <c r="AA17" s="541" t="inlineStr">
        <is>
          <t>上海市浦东新区唐镇
南曹路901弄金利公寓
144号楼602室</t>
        </is>
      </c>
      <c r="AB17" s="82" t="n">
        <v>15506688728</v>
      </c>
      <c r="AC17" s="546" t="inlineStr">
        <is>
          <t>412702198902126573</t>
        </is>
      </c>
      <c r="AD17" s="546" t="inlineStr">
        <is>
          <t>6215340301427141147</t>
        </is>
      </c>
      <c r="AE17" s="532" t="inlineStr">
        <is>
          <t>中国建设银行</t>
        </is>
      </c>
      <c r="AF17" s="532" t="n"/>
      <c r="AG17" s="532" t="inlineStr">
        <is>
          <t>是</t>
        </is>
      </c>
      <c r="AH17" s="547" t="inlineStr">
        <is>
          <t>第一次合同：3年：2024/3/13-2027/3/12</t>
        </is>
      </c>
      <c r="AI17" s="82">
        <f>DATEDIF(--TEXT(MID(AC17,7,8),"0-00-00"),TODAY(),"y")</f>
        <v/>
      </c>
      <c r="AJ17" s="548">
        <f>TEXT(MID(AC17,7,8),"0000-00-00")</f>
        <v/>
      </c>
      <c r="AK17" s="95">
        <f>CHOOSE(MONTH(AJ17),1,1,1,2,2,2,3,3,3,4,4,4)</f>
        <v/>
      </c>
    </row>
    <row r="18" customFormat="1" s="549">
      <c r="A18" s="197" t="n">
        <v>16</v>
      </c>
      <c r="B18" s="550" t="inlineStr">
        <is>
          <t>谭学学
（2025/4/2  已离职）</t>
        </is>
      </c>
      <c r="C18" s="550" t="inlineStr">
        <is>
          <t>/</t>
        </is>
      </c>
      <c r="D18" s="550" t="inlineStr">
        <is>
          <t>男</t>
        </is>
      </c>
      <c r="E18" s="549" t="n">
        <v>18500</v>
      </c>
      <c r="F18" s="550" t="inlineStr">
        <is>
          <t>工资14800/18.5 
无任何补贴，无其他费用</t>
        </is>
      </c>
      <c r="G18" s="550" t="inlineStr">
        <is>
          <t>材料齐全
已回寄员工
需要办理上海的积分，邦芒从7月份转派遣，80/月+1500/年（员工500文石1000）</t>
        </is>
      </c>
      <c r="H18" s="549" t="inlineStr">
        <is>
          <t>智能驾驶车辆改装工程师</t>
        </is>
      </c>
      <c r="I18" s="551" t="n">
        <v>45376</v>
      </c>
      <c r="J18" s="552" t="inlineStr">
        <is>
          <t>主动离职已离职
项目和结算都是lastday2025/3/26  
文石lastday2025/4/2  
离职证明写lastday2025/3/27</t>
        </is>
      </c>
      <c r="K18" s="551" t="n">
        <v>45467</v>
      </c>
      <c r="L18" s="553" t="n">
        <v>45383</v>
      </c>
      <c r="M18" s="549" t="inlineStr">
        <is>
          <t>上海</t>
        </is>
      </c>
      <c r="N18" s="549" t="inlineStr">
        <is>
          <t>上海</t>
        </is>
      </c>
      <c r="O18" s="554" t="n">
        <v>14800</v>
      </c>
      <c r="P18" s="554" t="n">
        <v>18500</v>
      </c>
      <c r="Q18" s="532" t="n">
        <v>0</v>
      </c>
      <c r="R18" s="532" t="n">
        <v>0</v>
      </c>
      <c r="S18" s="532" t="n">
        <v>0</v>
      </c>
      <c r="T18" s="550" t="inlineStr">
        <is>
          <t>第一次合同：3年：
2024/3/25-2027/3/24</t>
        </is>
      </c>
      <c r="U18" s="549" t="inlineStr">
        <is>
          <t>3个月</t>
        </is>
      </c>
      <c r="V18" s="549" t="inlineStr">
        <is>
          <t xml:space="preserve"> 电气工程及其自动化</t>
        </is>
      </c>
      <c r="W18" s="551" t="n">
        <v>44562</v>
      </c>
      <c r="X18" s="549" t="inlineStr">
        <is>
          <t>本科</t>
        </is>
      </c>
      <c r="Y18" s="557" t="inlineStr">
        <is>
          <t>55314171@qq.com</t>
        </is>
      </c>
      <c r="Z18" s="550" t="inlineStr">
        <is>
          <t>山东省鱼台县滨湖街道办事处佃户李村038号</t>
        </is>
      </c>
      <c r="AA18" s="550" t="inlineStr">
        <is>
          <t>谭学学 
15800472607
上海市浦东新区合庆镇东川公路凌家码头庆星村八队夏家宅32号101室</t>
        </is>
      </c>
      <c r="AB18" s="197" t="n">
        <v>15800472607</v>
      </c>
      <c r="AC18" s="556" t="inlineStr">
        <is>
          <t>370827198901061358</t>
        </is>
      </c>
      <c r="AD18" s="556" t="inlineStr">
        <is>
          <t>6215340301710025601</t>
        </is>
      </c>
      <c r="AE18" s="549" t="inlineStr">
        <is>
          <t>中国建设银行</t>
        </is>
      </c>
      <c r="AF18" s="549" t="n"/>
      <c r="AG18" s="549" t="inlineStr">
        <is>
          <t>否</t>
        </is>
      </c>
      <c r="AH18" s="552" t="inlineStr">
        <is>
          <t>离职啦</t>
        </is>
      </c>
      <c r="AI18" s="82">
        <f>DATEDIF(--TEXT(MID(AC18,7,8),"0-00-00"),TODAY(),"y")</f>
        <v/>
      </c>
      <c r="AJ18" s="548">
        <f>TEXT(MID(AC18,7,8),"0000-00-00")</f>
        <v/>
      </c>
      <c r="AK18" s="95">
        <f>CHOOSE(MONTH(AJ18),1,1,1,2,2,2,3,3,3,4,4,4)</f>
        <v/>
      </c>
    </row>
    <row r="19" customFormat="1" s="549">
      <c r="A19" s="197" t="n">
        <v>14</v>
      </c>
      <c r="B19" s="550" t="inlineStr">
        <is>
          <t>欧阳成
（2025/12/12已个人离职）</t>
        </is>
      </c>
      <c r="C19" s="550" t="inlineStr">
        <is>
          <t>南京文石</t>
        </is>
      </c>
      <c r="D19" s="550" t="inlineStr">
        <is>
          <t>男</t>
        </is>
      </c>
      <c r="E19" s="549" t="n">
        <v>14000</v>
      </c>
      <c r="F19" s="550" t="inlineStr">
        <is>
          <t>工资11200/14000
无任何补贴，无其他费用</t>
        </is>
      </c>
      <c r="G19" s="550" t="inlineStr">
        <is>
          <t>材料齐全
已回寄员工</t>
        </is>
      </c>
      <c r="H19" s="549" t="inlineStr">
        <is>
          <t>智能驾驶测试开发工程师</t>
        </is>
      </c>
      <c r="I19" s="551" t="n">
        <v>45376</v>
      </c>
      <c r="J19" s="552" t="n">
        <v>46003</v>
      </c>
      <c r="K19" s="551" t="n">
        <v>45467</v>
      </c>
      <c r="L19" s="553" t="n">
        <v>45383</v>
      </c>
      <c r="M19" s="549" t="inlineStr">
        <is>
          <t>南京</t>
        </is>
      </c>
      <c r="N19" s="549" t="inlineStr">
        <is>
          <t>南京</t>
        </is>
      </c>
      <c r="O19" s="554" t="n">
        <v>11200</v>
      </c>
      <c r="P19" s="554" t="n">
        <v>14000</v>
      </c>
      <c r="Q19" s="532" t="n">
        <v>0</v>
      </c>
      <c r="R19" s="532" t="n">
        <v>0</v>
      </c>
      <c r="S19" s="532" t="n">
        <v>0</v>
      </c>
      <c r="T19" s="550" t="inlineStr">
        <is>
          <t>第一次合同：3年：
2024/3/25-2027/3/24</t>
        </is>
      </c>
      <c r="U19" s="549" t="inlineStr">
        <is>
          <t>3个月</t>
        </is>
      </c>
      <c r="V19" s="549" t="inlineStr">
        <is>
          <t>计算机应用技术</t>
        </is>
      </c>
      <c r="W19" s="551" t="n">
        <v>43617</v>
      </c>
      <c r="X19" s="549" t="inlineStr">
        <is>
          <t>专科</t>
        </is>
      </c>
      <c r="Y19" s="557" t="inlineStr">
        <is>
          <t>m17371297307@163.com</t>
        </is>
      </c>
      <c r="Z19" s="550" t="inlineStr">
        <is>
          <t>湖北省应城市东马坊办事处新集村中份阳71</t>
        </is>
      </c>
      <c r="AA19" s="550" t="inlineStr">
        <is>
          <t>南京市栖霞区南京经济技术开发区翠林山庄20栋402
姓名：欧阳成
手机号：17371297307</t>
        </is>
      </c>
      <c r="AB19" s="197" t="n">
        <v>17371297307</v>
      </c>
      <c r="AC19" s="556" t="inlineStr">
        <is>
          <t>422202199811091810</t>
        </is>
      </c>
      <c r="AD19" s="556" t="inlineStr">
        <is>
          <t>6217002870061538771</t>
        </is>
      </c>
      <c r="AE19" s="549" t="inlineStr">
        <is>
          <t>中国建设银行</t>
        </is>
      </c>
      <c r="AF19" s="549" t="n"/>
      <c r="AG19" s="549" t="inlineStr">
        <is>
          <t>否</t>
        </is>
      </c>
      <c r="AH19" s="552" t="inlineStr">
        <is>
          <t>第一次合同：3年：2024/3/25-2027/3/24</t>
        </is>
      </c>
      <c r="AI19" s="82">
        <f>DATEDIF(--TEXT(MID(AC19,7,8),"0-00-00"),TODAY(),"y")</f>
        <v/>
      </c>
      <c r="AJ19" s="548">
        <f>TEXT(MID(AC19,7,8),"0000-00-00")</f>
        <v/>
      </c>
      <c r="AK19" s="95">
        <f>CHOOSE(MONTH(AJ19),1,1,1,2,2,2,3,3,3,4,4,4)</f>
        <v/>
      </c>
    </row>
    <row r="20" customFormat="1" s="532">
      <c r="A20" s="82" t="n">
        <v>13</v>
      </c>
      <c r="B20" s="532" t="inlineStr">
        <is>
          <t>刘建鹤</t>
        </is>
      </c>
      <c r="C20" s="541" t="inlineStr">
        <is>
          <t>北京文石</t>
        </is>
      </c>
      <c r="D20" s="532" t="inlineStr">
        <is>
          <t>男</t>
        </is>
      </c>
      <c r="E20" s="532">
        <f>24000+1000+3000</f>
        <v/>
      </c>
      <c r="F20" s="541" t="inlineStr">
        <is>
          <t>工资21600/24000  试用期打9折
无任何补贴，无其他费用
汪总给-刘建鹤从25年5月起涨薪1000元现工资25000。刘建鹤自2026年5月起涨薪3000元，目前薪资25000+3000=28000</t>
        </is>
      </c>
      <c r="G20" s="541" t="inlineStr">
        <is>
          <t>材料齐全 
已回寄员工
完美</t>
        </is>
      </c>
      <c r="H20" s="532" t="inlineStr">
        <is>
          <t>自动驾驶视觉算法工程师</t>
        </is>
      </c>
      <c r="I20" s="533" t="n">
        <v>45390</v>
      </c>
      <c r="J20" s="533" t="inlineStr">
        <is>
          <t>/</t>
        </is>
      </c>
      <c r="K20" s="533" t="n">
        <v>45480</v>
      </c>
      <c r="L20" s="534" t="n">
        <v>45383</v>
      </c>
      <c r="M20" s="532" t="inlineStr">
        <is>
          <t>北京</t>
        </is>
      </c>
      <c r="N20" s="532" t="inlineStr">
        <is>
          <t>北京</t>
        </is>
      </c>
      <c r="O20" s="532" t="n">
        <v>21600</v>
      </c>
      <c r="P20" s="532" t="n">
        <v>24000</v>
      </c>
      <c r="Q20" s="532" t="n">
        <v>0</v>
      </c>
      <c r="R20" s="532" t="n">
        <v>0</v>
      </c>
      <c r="S20" s="532" t="n">
        <v>0</v>
      </c>
      <c r="T20" s="541" t="inlineStr">
        <is>
          <t>第一次合同：3年：
2024/4/8-2027/4/7</t>
        </is>
      </c>
      <c r="U20" s="532" t="inlineStr">
        <is>
          <t>3个月</t>
        </is>
      </c>
      <c r="V20" s="532" t="inlineStr">
        <is>
          <t>计算机科学与技术</t>
        </is>
      </c>
      <c r="W20" s="533" t="n">
        <v>44348</v>
      </c>
      <c r="X20" s="532" t="inlineStr">
        <is>
          <t>本科</t>
        </is>
      </c>
      <c r="Y20" s="545" t="inlineStr">
        <is>
          <t>ljh981109@163.com</t>
        </is>
      </c>
      <c r="Z20" s="541" t="inlineStr">
        <is>
          <t>成都市锦江区福字街86号</t>
        </is>
      </c>
      <c r="AA20" s="532" t="inlineStr">
        <is>
          <t>北京市海淀区永旺三区2号楼1单元502</t>
        </is>
      </c>
      <c r="AB20" s="82" t="n">
        <v>18380321623</v>
      </c>
      <c r="AC20" s="546" t="inlineStr">
        <is>
          <t>131126199811090039</t>
        </is>
      </c>
      <c r="AD20" s="546" t="inlineStr">
        <is>
          <t>6217000010195632677</t>
        </is>
      </c>
      <c r="AE20" s="532" t="inlineStr">
        <is>
          <t>中国建设银行</t>
        </is>
      </c>
      <c r="AF20" s="532" t="n"/>
      <c r="AG20" s="532" t="inlineStr">
        <is>
          <t>是</t>
        </is>
      </c>
      <c r="AH20" s="547" t="inlineStr">
        <is>
          <t>第一次合同：3年：2024/4/8-2027/4/7</t>
        </is>
      </c>
      <c r="AI20" s="82">
        <f>DATEDIF(--TEXT(MID(AC20,7,8),"0-00-00"),TODAY(),"y")</f>
        <v/>
      </c>
      <c r="AJ20" s="548">
        <f>TEXT(MID(AC20,7,8),"0000-00-00")</f>
        <v/>
      </c>
      <c r="AK20" s="95">
        <f>CHOOSE(MONTH(AJ20),1,1,1,2,2,2,3,3,3,4,4,4)</f>
        <v/>
      </c>
    </row>
    <row r="21" s="558">
      <c r="A21" s="82" t="n">
        <v>14</v>
      </c>
      <c r="B21" s="532" t="inlineStr">
        <is>
          <t>傅鹤雨</t>
        </is>
      </c>
      <c r="C21" s="532" t="inlineStr">
        <is>
          <t>南京文石</t>
        </is>
      </c>
      <c r="D21" s="532" t="inlineStr">
        <is>
          <t>男</t>
        </is>
      </c>
      <c r="E21" s="532" t="n">
        <v>20000</v>
      </c>
      <c r="F21" s="541" t="inlineStr">
        <is>
          <t>工资18000/20000  试用期打9折
无任何补贴，无其他费用</t>
        </is>
      </c>
      <c r="G21" s="541" t="inlineStr">
        <is>
          <t>材料齐全 
已回寄员工
完美</t>
        </is>
      </c>
      <c r="H21" s="532" t="inlineStr">
        <is>
          <t>全栈开发工程师</t>
        </is>
      </c>
      <c r="I21" s="533" t="n">
        <v>45397</v>
      </c>
      <c r="J21" s="533" t="inlineStr">
        <is>
          <t>/</t>
        </is>
      </c>
      <c r="K21" s="533" t="n">
        <v>45396</v>
      </c>
      <c r="L21" s="534" t="n">
        <v>45383</v>
      </c>
      <c r="M21" s="532" t="inlineStr">
        <is>
          <t>南京</t>
        </is>
      </c>
      <c r="N21" s="532" t="inlineStr">
        <is>
          <t>南京</t>
        </is>
      </c>
      <c r="O21" s="532" t="n">
        <v>18000</v>
      </c>
      <c r="P21" s="532" t="n">
        <v>20000</v>
      </c>
      <c r="Q21" s="532" t="n">
        <v>0</v>
      </c>
      <c r="R21" s="532" t="n">
        <v>0</v>
      </c>
      <c r="S21" s="532" t="n">
        <v>0</v>
      </c>
      <c r="T21" s="541" t="inlineStr">
        <is>
          <t>第一次合同：3年：
2024/4/15-2027/4/14</t>
        </is>
      </c>
      <c r="U21" s="532" t="inlineStr">
        <is>
          <t>3个月</t>
        </is>
      </c>
      <c r="V21" s="532" t="inlineStr">
        <is>
          <t>无机非金属材料工程</t>
        </is>
      </c>
      <c r="W21" s="533" t="n">
        <v>41061</v>
      </c>
      <c r="X21" s="532" t="inlineStr">
        <is>
          <t>本科</t>
        </is>
      </c>
      <c r="Y21" s="545" t="inlineStr">
        <is>
          <t>814202215@qq.com</t>
        </is>
      </c>
      <c r="Z21" s="541" t="inlineStr">
        <is>
          <t>江苏省连云港市赣榆区黑林镇土屋村一队583号</t>
        </is>
      </c>
      <c r="AA21" s="541" t="inlineStr">
        <is>
          <t>南京市栖霞区兴智路兴智科技园A栋19楼
15712839633
傅鹤雨</t>
        </is>
      </c>
      <c r="AB21" s="82" t="n">
        <v>15712839633</v>
      </c>
      <c r="AC21" s="546" t="inlineStr">
        <is>
          <t>320721198904073618</t>
        </is>
      </c>
      <c r="AD21" s="546" t="inlineStr">
        <is>
          <t>6217000010196118684</t>
        </is>
      </c>
      <c r="AE21" s="532" t="inlineStr">
        <is>
          <t>中国建设银行</t>
        </is>
      </c>
      <c r="AG21" s="532" t="inlineStr">
        <is>
          <t>是</t>
        </is>
      </c>
      <c r="AH21" s="547" t="inlineStr">
        <is>
          <t xml:space="preserve">第一次合同：3年：2024/4/15-2027/4/14
注意：傅鹤雨会在25年年底释放，傅鹤雨202512又转长期了扣点了
</t>
        </is>
      </c>
      <c r="AI21" s="82">
        <f>DATEDIF(--TEXT(MID(AC21,7,8),"0-00-00"),TODAY(),"y")</f>
        <v/>
      </c>
      <c r="AJ21" s="548">
        <f>TEXT(MID(AC21,7,8),"0000-00-00")</f>
        <v/>
      </c>
      <c r="AK21" s="95">
        <f>CHOOSE(MONTH(AJ21),1,1,1,2,2,2,3,3,3,4,4,4)</f>
        <v/>
      </c>
    </row>
    <row r="22" customFormat="1" s="549">
      <c r="A22" s="197" t="n">
        <v>20</v>
      </c>
      <c r="B22" s="550" t="inlineStr">
        <is>
          <t>薄杰
（2025/3/18 已离职）</t>
        </is>
      </c>
      <c r="C22" s="550" t="inlineStr">
        <is>
          <t>/</t>
        </is>
      </c>
      <c r="D22" s="549" t="inlineStr">
        <is>
          <t>男</t>
        </is>
      </c>
      <c r="E22" s="549" t="n">
        <v>20000</v>
      </c>
      <c r="F22" s="550" t="inlineStr">
        <is>
          <t>工资16000/2w 试用期打8折
无任何补贴，无其他费用</t>
        </is>
      </c>
      <c r="G22" s="550" t="inlineStr">
        <is>
          <t>材料齐全 
已回寄员工
完美</t>
        </is>
      </c>
      <c r="H22" s="549" t="inlineStr">
        <is>
          <t>c++测试开发工程师</t>
        </is>
      </c>
      <c r="I22" s="551" t="n">
        <v>45399</v>
      </c>
      <c r="J22" s="552" t="inlineStr">
        <is>
          <t>主动离职
2025/3/18 lastday</t>
        </is>
      </c>
      <c r="K22" s="551" t="n">
        <v>45489</v>
      </c>
      <c r="L22" s="553" t="n">
        <v>45413</v>
      </c>
      <c r="M22" s="549" t="inlineStr">
        <is>
          <t>南京</t>
        </is>
      </c>
      <c r="N22" s="549" t="inlineStr">
        <is>
          <t>南京</t>
        </is>
      </c>
      <c r="O22" s="554" t="n">
        <v>16000</v>
      </c>
      <c r="P22" s="554" t="n">
        <v>20000</v>
      </c>
      <c r="Q22" s="532" t="n">
        <v>0</v>
      </c>
      <c r="R22" s="532" t="n">
        <v>0</v>
      </c>
      <c r="S22" s="532" t="n">
        <v>0</v>
      </c>
      <c r="T22" s="550" t="inlineStr">
        <is>
          <t>第一次合同：3年：
2024/4/17-2027/4/16</t>
        </is>
      </c>
      <c r="U22" s="549" t="inlineStr">
        <is>
          <t>3个月</t>
        </is>
      </c>
      <c r="V22" s="549" t="inlineStr">
        <is>
          <t>计算机科学与技术</t>
        </is>
      </c>
      <c r="W22" s="551" t="n">
        <v>41974</v>
      </c>
      <c r="X22" s="549" t="inlineStr">
        <is>
          <t>专科</t>
        </is>
      </c>
      <c r="Y22" s="557" t="inlineStr">
        <is>
          <t>154439155@qq.com</t>
        </is>
      </c>
      <c r="Z22" s="550" t="inlineStr">
        <is>
          <t>安徽省合肥市蜀山区长江西路888号付1号2011级学生户</t>
        </is>
      </c>
      <c r="AA22" s="550" t="inlineStr">
        <is>
          <t>南京经济技术开发区栖霞大道仙新路与恒久路交叉口江悦润府A区2栋三单元2506,16605514688 薄杰</t>
        </is>
      </c>
      <c r="AB22" s="197" t="n">
        <v>16605514688</v>
      </c>
      <c r="AC22" s="556" t="inlineStr">
        <is>
          <t>340405199209250215</t>
        </is>
      </c>
      <c r="AD22" s="556" t="inlineStr">
        <is>
          <t>6217001630024468057</t>
        </is>
      </c>
      <c r="AE22" s="549" t="inlineStr">
        <is>
          <t>中国建设银行</t>
        </is>
      </c>
      <c r="AF22" s="549" t="n"/>
      <c r="AG22" s="549" t="inlineStr">
        <is>
          <t>否</t>
        </is>
      </c>
      <c r="AH22" s="552" t="inlineStr">
        <is>
          <t>离职啦</t>
        </is>
      </c>
      <c r="AI22" s="82">
        <f>DATEDIF(--TEXT(MID(AC22,7,8),"0-00-00"),TODAY(),"y")</f>
        <v/>
      </c>
      <c r="AJ22" s="548">
        <f>TEXT(MID(AC22,7,8),"0000-00-00")</f>
        <v/>
      </c>
      <c r="AK22" s="95">
        <f>CHOOSE(MONTH(AJ22),1,1,1,2,2,2,3,3,3,4,4,4)</f>
        <v/>
      </c>
    </row>
    <row r="23" customFormat="1" s="549">
      <c r="A23" s="197" t="n">
        <v>21</v>
      </c>
      <c r="B23" s="550" t="inlineStr">
        <is>
          <t>王俊程
（2024年7月4日已离职）</t>
        </is>
      </c>
      <c r="C23" s="550" t="inlineStr">
        <is>
          <t>/</t>
        </is>
      </c>
      <c r="D23" s="549" t="inlineStr">
        <is>
          <t>男</t>
        </is>
      </c>
      <c r="E23" s="549" t="n">
        <v>20000</v>
      </c>
      <c r="F23" s="550" t="inlineStr">
        <is>
          <t xml:space="preserve">工资16000/2w 试用期打8折
无任何补贴，无其他费用
2024年7月4日已离职
</t>
        </is>
      </c>
      <c r="G23" s="550" t="inlineStr">
        <is>
          <t>材料齐全 
已回寄员工
完美</t>
        </is>
      </c>
      <c r="H23" s="549" t="inlineStr">
        <is>
          <t>C/C++开发/测试开发</t>
        </is>
      </c>
      <c r="I23" s="551" t="n">
        <v>45399</v>
      </c>
      <c r="J23" s="552" t="inlineStr">
        <is>
          <t>2024年7月4日 lastday
主动离职已离职</t>
        </is>
      </c>
      <c r="K23" s="551" t="n">
        <v>45489</v>
      </c>
      <c r="L23" s="553" t="n">
        <v>45413</v>
      </c>
      <c r="M23" s="549" t="inlineStr">
        <is>
          <t>北京</t>
        </is>
      </c>
      <c r="N23" s="549" t="inlineStr">
        <is>
          <t>北京</t>
        </is>
      </c>
      <c r="O23" s="554" t="n">
        <v>16000</v>
      </c>
      <c r="P23" s="554" t="n">
        <v>20000</v>
      </c>
      <c r="Q23" s="532" t="n">
        <v>0</v>
      </c>
      <c r="R23" s="532" t="n">
        <v>0</v>
      </c>
      <c r="S23" s="532" t="n">
        <v>0</v>
      </c>
      <c r="T23" s="550" t="inlineStr">
        <is>
          <t>第一次合同：3年：
2024/4/17-2027/4/16</t>
        </is>
      </c>
      <c r="U23" s="549" t="inlineStr">
        <is>
          <t>3个月</t>
        </is>
      </c>
      <c r="V23" s="549" t="inlineStr">
        <is>
          <t>物流管理</t>
        </is>
      </c>
      <c r="W23" s="551" t="n">
        <v>43344</v>
      </c>
      <c r="X23" s="549" t="inlineStr">
        <is>
          <t>专科</t>
        </is>
      </c>
      <c r="Y23" s="557" t="inlineStr">
        <is>
          <t>w19963981158@163.com</t>
        </is>
      </c>
      <c r="Z23" s="549" t="inlineStr">
        <is>
          <t>山东省沂南县湖头镇赵家洼414号</t>
        </is>
      </c>
      <c r="AA23" s="550" t="inlineStr">
        <is>
          <t>北京市海淀区丰豪东路9号中关村集成电路设计园2号楼A座  
王俊程 19963981158</t>
        </is>
      </c>
      <c r="AB23" s="197" t="n">
        <v>19963981158</v>
      </c>
      <c r="AC23" s="556" t="inlineStr">
        <is>
          <t xml:space="preserve">231123199712250716 </t>
        </is>
      </c>
      <c r="AD23" s="556" t="inlineStr">
        <is>
          <t>6217002290041896548</t>
        </is>
      </c>
      <c r="AE23" s="549" t="inlineStr">
        <is>
          <t>中国建设银行</t>
        </is>
      </c>
      <c r="AF23" s="549" t="n"/>
      <c r="AG23" s="549" t="inlineStr">
        <is>
          <t>否</t>
        </is>
      </c>
      <c r="AH23" s="552" t="inlineStr">
        <is>
          <t>离职啦</t>
        </is>
      </c>
      <c r="AI23" s="82">
        <f>DATEDIF(--TEXT(MID(AC23,7,8),"0-00-00"),TODAY(),"y")</f>
        <v/>
      </c>
      <c r="AJ23" s="548">
        <f>TEXT(MID(AC23,7,8),"0000-00-00")</f>
        <v/>
      </c>
      <c r="AK23" s="95">
        <f>CHOOSE(MONTH(AJ23),1,1,1,2,2,2,3,3,3,4,4,4)</f>
        <v/>
      </c>
    </row>
    <row r="24" customFormat="1" s="549">
      <c r="A24" s="197" t="n">
        <v>22</v>
      </c>
      <c r="B24" s="550" t="inlineStr">
        <is>
          <t>李子磊
（2024.5.27已离职）</t>
        </is>
      </c>
      <c r="C24" s="550" t="inlineStr">
        <is>
          <t>/</t>
        </is>
      </c>
      <c r="D24" s="549" t="inlineStr">
        <is>
          <t>男</t>
        </is>
      </c>
      <c r="E24" s="549" t="n">
        <v>30000</v>
      </c>
      <c r="F24" s="550" t="inlineStr">
        <is>
          <t xml:space="preserve">工资2.4k/3w 试用期打8折
无任何补贴，无其他费用
</t>
        </is>
      </c>
      <c r="G24" s="550" t="inlineStr">
        <is>
          <t>材料齐全 
已回寄员工
完美</t>
        </is>
      </c>
      <c r="H24" s="549" t="inlineStr">
        <is>
          <t>嵌入式驱动开发工程师</t>
        </is>
      </c>
      <c r="I24" s="551" t="n">
        <v>45404</v>
      </c>
      <c r="J24" s="552" t="inlineStr">
        <is>
          <t>2024.5.27主动离职，
离职证明已开</t>
        </is>
      </c>
      <c r="K24" s="551" t="n">
        <v>45494</v>
      </c>
      <c r="L24" s="553" t="n">
        <v>45413</v>
      </c>
      <c r="M24" s="549" t="inlineStr">
        <is>
          <t>北京</t>
        </is>
      </c>
      <c r="N24" s="549" t="inlineStr">
        <is>
          <t>北京</t>
        </is>
      </c>
      <c r="O24" s="554" t="n">
        <v>24000</v>
      </c>
      <c r="P24" s="554" t="n">
        <v>30000</v>
      </c>
      <c r="Q24" s="532" t="n">
        <v>0</v>
      </c>
      <c r="R24" s="532" t="n">
        <v>0</v>
      </c>
      <c r="S24" s="532" t="n">
        <v>0</v>
      </c>
      <c r="T24" s="550" t="inlineStr">
        <is>
          <t>第一次合同：3年：
2024/4/22-2027/4/21</t>
        </is>
      </c>
      <c r="U24" s="549" t="inlineStr">
        <is>
          <t>3个月</t>
        </is>
      </c>
      <c r="V24" s="549" t="inlineStr">
        <is>
          <t>计算机技术及应用</t>
        </is>
      </c>
      <c r="W24" s="551" t="n">
        <v>44927</v>
      </c>
      <c r="X24" s="549" t="inlineStr">
        <is>
          <t>专科</t>
        </is>
      </c>
      <c r="Y24" s="557" t="inlineStr">
        <is>
          <t>lizileiit@163.com</t>
        </is>
      </c>
      <c r="Z24" s="549" t="inlineStr">
        <is>
          <t>河北省石家庄市无极县东侯坊乡东丰庄村西街50号</t>
        </is>
      </c>
      <c r="AA24" s="550" t="inlineStr">
        <is>
          <t>15201643688
北京市昌平区龙博苑三区</t>
        </is>
      </c>
      <c r="AB24" s="197" t="n">
        <v>15201643688</v>
      </c>
      <c r="AC24" s="556" t="inlineStr">
        <is>
          <t>130130199312162716</t>
        </is>
      </c>
      <c r="AD24" s="556" t="inlineStr">
        <is>
          <t>6217000010195254092</t>
        </is>
      </c>
      <c r="AE24" s="549" t="inlineStr">
        <is>
          <t>中国建设银行</t>
        </is>
      </c>
      <c r="AF24" s="549" t="n"/>
      <c r="AG24" s="549" t="inlineStr">
        <is>
          <t>否</t>
        </is>
      </c>
      <c r="AH24" s="552" t="inlineStr">
        <is>
          <t>离职啦</t>
        </is>
      </c>
      <c r="AI24" s="82">
        <f>DATEDIF(--TEXT(MID(AC24,7,8),"0-00-00"),TODAY(),"y")</f>
        <v/>
      </c>
      <c r="AJ24" s="548">
        <f>TEXT(MID(AC24,7,8),"0000-00-00")</f>
        <v/>
      </c>
      <c r="AK24" s="95">
        <f>CHOOSE(MONTH(AJ24),1,1,1,2,2,2,3,3,3,4,4,4)</f>
        <v/>
      </c>
    </row>
    <row r="25" customFormat="1" s="532">
      <c r="A25" s="82" t="n">
        <v>15</v>
      </c>
      <c r="B25" s="532" t="inlineStr">
        <is>
          <t>刘梦焕</t>
        </is>
      </c>
      <c r="C25" s="532" t="inlineStr">
        <is>
          <t>上海文石</t>
        </is>
      </c>
      <c r="D25" s="532" t="inlineStr">
        <is>
          <t>女</t>
        </is>
      </c>
      <c r="E25" s="532" t="n">
        <v>17000</v>
      </c>
      <c r="F25" s="541" t="inlineStr">
        <is>
          <t>试用期1个月 1个月哦
工资13600/17000 试用期打8折
无任何补贴，无其他费用</t>
        </is>
      </c>
      <c r="G25" s="541" t="inlineStr">
        <is>
          <t>材料齐全 
已回寄员工(离职证明电子版)
完美</t>
        </is>
      </c>
      <c r="H25" s="532" t="inlineStr">
        <is>
          <t>react前端开发工程师</t>
        </is>
      </c>
      <c r="I25" s="533" t="n">
        <v>45404</v>
      </c>
      <c r="J25" s="547" t="inlineStr">
        <is>
          <t>/</t>
        </is>
      </c>
      <c r="K25" s="547" t="inlineStr">
        <is>
          <t>2024/7/21
试用期时间6个月</t>
        </is>
      </c>
      <c r="L25" s="534" t="n">
        <v>45413</v>
      </c>
      <c r="M25" s="532" t="inlineStr">
        <is>
          <t>上海</t>
        </is>
      </c>
      <c r="N25" s="532" t="inlineStr">
        <is>
          <t>上海</t>
        </is>
      </c>
      <c r="O25" s="532" t="n">
        <v>13600</v>
      </c>
      <c r="P25" s="532" t="n">
        <v>17000</v>
      </c>
      <c r="Q25" s="532" t="n">
        <v>0</v>
      </c>
      <c r="R25" s="532" t="n">
        <v>0</v>
      </c>
      <c r="S25" s="532" t="n">
        <v>0</v>
      </c>
      <c r="T25" s="541" t="inlineStr">
        <is>
          <t>第一次合同：3年：
2024/4/22-2027/4/21</t>
        </is>
      </c>
      <c r="U25" s="541" t="inlineStr">
        <is>
          <t>offer写的是一个月
合同写3个月
最终是1个月为转正工资</t>
        </is>
      </c>
      <c r="V25" s="532" t="inlineStr">
        <is>
          <t>计算机科学与技术</t>
        </is>
      </c>
      <c r="W25" s="533" t="n">
        <v>44378</v>
      </c>
      <c r="X25" s="532" t="inlineStr">
        <is>
          <t>本科</t>
        </is>
      </c>
      <c r="Y25" s="545" t="inlineStr">
        <is>
          <t>liumh564@163.com</t>
        </is>
      </c>
      <c r="Z25" s="532" t="inlineStr">
        <is>
          <t>河南省新安县磁涧镇龙渠新村刘岭组</t>
        </is>
      </c>
      <c r="AA25" s="541" t="inlineStr">
        <is>
          <t>上海市浦东新区张东路 2281弄95号
刘梦焕
15821665431</t>
        </is>
      </c>
      <c r="AB25" s="82" t="n">
        <v>15821665431</v>
      </c>
      <c r="AC25" s="546" t="inlineStr">
        <is>
          <t>410323199907170541</t>
        </is>
      </c>
      <c r="AD25" s="546" t="inlineStr">
        <is>
          <t>6217002450011136982</t>
        </is>
      </c>
      <c r="AE25" s="532" t="inlineStr">
        <is>
          <t>中国建设银行</t>
        </is>
      </c>
      <c r="AF25" s="532" t="n"/>
      <c r="AG25" s="532" t="inlineStr">
        <is>
          <t>是</t>
        </is>
      </c>
      <c r="AH25" s="547" t="inlineStr">
        <is>
          <t>第一次合同：3年：2024/4/22-2027/4/21</t>
        </is>
      </c>
      <c r="AI25" s="82">
        <f>DATEDIF(--TEXT(MID(AC25,7,8),"0-00-00"),TODAY(),"y")</f>
        <v/>
      </c>
      <c r="AJ25" s="548">
        <f>TEXT(MID(AC25,7,8),"0000-00-00")</f>
        <v/>
      </c>
      <c r="AK25" s="95">
        <f>CHOOSE(MONTH(AJ25),1,1,1,2,2,2,3,3,3,4,4,4)</f>
        <v/>
      </c>
    </row>
    <row r="26" customFormat="1" s="549">
      <c r="A26" s="197" t="n">
        <v>24</v>
      </c>
      <c r="B26" s="550" t="inlineStr">
        <is>
          <t>胡洋
（2024.11.22已离职）</t>
        </is>
      </c>
      <c r="C26" s="550" t="inlineStr">
        <is>
          <t>/</t>
        </is>
      </c>
      <c r="D26" s="549" t="inlineStr">
        <is>
          <t>男</t>
        </is>
      </c>
      <c r="E26" s="549" t="n">
        <v>5600</v>
      </c>
      <c r="F26" s="550" t="inlineStr">
        <is>
          <t>挂靠,只发工资,无社保
薪资5600固定的,所有成本*1.05，
帮忙发下工资,也就是5%的利润给ws
结算单上应该是:5600*1.06*1.05（收增值税）</t>
        </is>
      </c>
      <c r="G26" s="550" t="inlineStr">
        <is>
          <t xml:space="preserve">材料齐全 
已回寄员工
合同是2024-4-22至
2025-3-31地平线项目制
实际释放：2024.12.6
支撑到25年3月底
</t>
        </is>
      </c>
      <c r="H26" s="549" t="inlineStr">
        <is>
          <t>开发实习生</t>
        </is>
      </c>
      <c r="I26" s="551" t="n">
        <v>45404</v>
      </c>
      <c r="J26" s="552" t="inlineStr">
        <is>
          <t>胡洋短期释放
实际lastday2024.11.22</t>
        </is>
      </c>
      <c r="K26" s="551" t="inlineStr">
        <is>
          <t>固定</t>
        </is>
      </c>
      <c r="L26" s="553" t="inlineStr">
        <is>
          <t>不缴纳</t>
        </is>
      </c>
      <c r="M26" s="549" t="inlineStr">
        <is>
          <t>北京</t>
        </is>
      </c>
      <c r="N26" s="549" t="inlineStr">
        <is>
          <t>北京</t>
        </is>
      </c>
      <c r="O26" s="554" t="n">
        <v>5600</v>
      </c>
      <c r="P26" s="554" t="n">
        <v>5600</v>
      </c>
      <c r="Q26" s="532" t="n">
        <v>0</v>
      </c>
      <c r="R26" s="532" t="n">
        <v>0</v>
      </c>
      <c r="S26" s="532" t="n">
        <v>0</v>
      </c>
      <c r="T26" s="550" t="inlineStr">
        <is>
          <t>第一次合同：短期7个月：2024/4/22-2025/3/30</t>
        </is>
      </c>
      <c r="U26" s="550" t="inlineStr">
        <is>
          <t>材料已寄员工
还没回寄我，需要找员工要</t>
        </is>
      </c>
      <c r="V26" s="549" t="inlineStr">
        <is>
          <t>智能科学与技术</t>
        </is>
      </c>
      <c r="W26" s="551" t="inlineStr">
        <is>
          <t>/</t>
        </is>
      </c>
      <c r="X26" s="549" t="inlineStr">
        <is>
          <t>本科</t>
        </is>
      </c>
      <c r="Y26" s="557" t="inlineStr">
        <is>
          <t>3114468737@qq.com</t>
        </is>
      </c>
      <c r="Z26" s="549" t="inlineStr">
        <is>
          <t>河北省张家口市沽源县小河子乡小河子村603号</t>
        </is>
      </c>
      <c r="AA26" s="550" t="inlineStr">
        <is>
          <t>河北张家口桥西区香江小区26号楼，
18840249731，胡先生</t>
        </is>
      </c>
      <c r="AB26" s="197" t="n">
        <v>18840249731</v>
      </c>
      <c r="AC26" s="556" t="inlineStr">
        <is>
          <t>130724199705221110</t>
        </is>
      </c>
      <c r="AD26" s="550" t="inlineStr">
        <is>
          <t>账号：6222620910053949842
户名：胡洋
所属网点：交通银行北京农科院支行</t>
        </is>
      </c>
      <c r="AE26" s="549" t="inlineStr">
        <is>
          <t>交通银行北京农科院支行</t>
        </is>
      </c>
      <c r="AG26" s="549" t="inlineStr">
        <is>
          <t>否</t>
        </is>
      </c>
      <c r="AH26" s="552" t="inlineStr">
        <is>
          <t>离职啦</t>
        </is>
      </c>
      <c r="AI26" s="82">
        <f>DATEDIF(--TEXT(MID(AC26,7,8),"0-00-00"),TODAY(),"y")</f>
        <v/>
      </c>
      <c r="AJ26" s="548">
        <f>TEXT(MID(AC26,7,8),"0000-00-00")</f>
        <v/>
      </c>
      <c r="AK26" s="95">
        <f>CHOOSE(MONTH(AJ26),1,1,1,2,2,2,3,3,3,4,4,4)</f>
        <v/>
      </c>
    </row>
    <row r="27" customFormat="1" s="549">
      <c r="A27" s="197" t="n">
        <v>25</v>
      </c>
      <c r="B27" s="550" t="inlineStr">
        <is>
          <t>王志刚
（2025年3月7日已离职）</t>
        </is>
      </c>
      <c r="C27" s="550" t="inlineStr">
        <is>
          <t>/</t>
        </is>
      </c>
      <c r="D27" s="549" t="inlineStr">
        <is>
          <t>男</t>
        </is>
      </c>
      <c r="E27" s="549" t="n">
        <v>19000</v>
      </c>
      <c r="F27" s="550" t="inlineStr">
        <is>
          <t xml:space="preserve">工资15200/19000 试用期打8折
无任何补贴，无其他费用
</t>
        </is>
      </c>
      <c r="G27" s="550" t="inlineStr">
        <is>
          <t>材料齐全 
缺录用通知书
已回寄员工
（7月31日申请1w备用金，12干20日已还文石）</t>
        </is>
      </c>
      <c r="H27" s="549" t="inlineStr">
        <is>
          <t>自动驾驶系统验证工程师</t>
        </is>
      </c>
      <c r="I27" s="551" t="n">
        <v>45411</v>
      </c>
      <c r="J27" s="552" t="inlineStr">
        <is>
          <t>2025年3月7日Lastday
主动离职</t>
        </is>
      </c>
      <c r="K27" s="551" t="n">
        <v>45500</v>
      </c>
      <c r="L27" s="553" t="n">
        <v>45413</v>
      </c>
      <c r="M27" s="549" t="inlineStr">
        <is>
          <t>北京</t>
        </is>
      </c>
      <c r="N27" s="549" t="inlineStr">
        <is>
          <t>北京</t>
        </is>
      </c>
      <c r="O27" s="554" t="n">
        <v>15200</v>
      </c>
      <c r="P27" s="554" t="n">
        <v>19000</v>
      </c>
      <c r="Q27" s="532" t="n">
        <v>0</v>
      </c>
      <c r="R27" s="532" t="n">
        <v>0</v>
      </c>
      <c r="S27" s="532" t="n">
        <v>0</v>
      </c>
      <c r="T27" s="550" t="inlineStr">
        <is>
          <t>第一次合同：3年：
2024/4/29-2027/4/28</t>
        </is>
      </c>
      <c r="U27" s="550" t="inlineStr">
        <is>
          <t>试用期6个月
第3个月转正薪资</t>
        </is>
      </c>
      <c r="V27" s="549" t="inlineStr">
        <is>
          <t>车辆工程</t>
        </is>
      </c>
      <c r="W27" s="551" t="n">
        <v>40695</v>
      </c>
      <c r="X27" s="549" t="inlineStr">
        <is>
          <t>本科</t>
        </is>
      </c>
      <c r="Y27" s="557" t="inlineStr">
        <is>
          <t>1248049356@qq.com</t>
        </is>
      </c>
      <c r="Z27" s="549" t="inlineStr">
        <is>
          <t>河北省保定市唐县王京镇东马寨村东大街王占起胡同门牌5号</t>
        </is>
      </c>
      <c r="AA27" s="550" t="inlineStr">
        <is>
          <t>北京市海淀区丰豪东路9号中关村集成电路设计园2号楼A座
王志刚
13261301858</t>
        </is>
      </c>
      <c r="AB27" s="197" t="n">
        <v>13261301858</v>
      </c>
      <c r="AC27" s="549" t="inlineStr">
        <is>
          <t>13062719860112063X</t>
        </is>
      </c>
      <c r="AD27" s="556" t="inlineStr">
        <is>
          <t>6217000010160264621</t>
        </is>
      </c>
      <c r="AE27" s="549" t="inlineStr">
        <is>
          <t>中国建设银行</t>
        </is>
      </c>
      <c r="AG27" s="549" t="inlineStr">
        <is>
          <t>否</t>
        </is>
      </c>
      <c r="AH27" s="552" t="inlineStr">
        <is>
          <t>离职啦</t>
        </is>
      </c>
      <c r="AI27" s="82">
        <f>DATEDIF(--TEXT(MID(AC27,7,8),"0-00-00"),TODAY(),"y")</f>
        <v/>
      </c>
      <c r="AJ27" s="548">
        <f>TEXT(MID(AC27,7,8),"0000-00-00")</f>
        <v/>
      </c>
      <c r="AK27" s="95">
        <f>CHOOSE(MONTH(AJ27),1,1,1,2,2,2,3,3,3,4,4,4)</f>
        <v/>
      </c>
    </row>
    <row r="28" customFormat="1" s="549">
      <c r="A28" s="197" t="n">
        <v>26</v>
      </c>
      <c r="B28" s="550" t="inlineStr">
        <is>
          <t>余晓迎
（2024年8月30日已离职）</t>
        </is>
      </c>
      <c r="C28" s="550" t="inlineStr">
        <is>
          <t>/</t>
        </is>
      </c>
      <c r="D28" s="549" t="inlineStr">
        <is>
          <t>女</t>
        </is>
      </c>
      <c r="E28" s="549" t="n">
        <v>9000</v>
      </c>
      <c r="F28" s="550" t="inlineStr">
        <is>
          <t>工资9k 
短期员工
录用周期为  3 个月</t>
        </is>
      </c>
      <c r="G28" s="550" t="inlineStr">
        <is>
          <t>劳动合同
材料齐全 
已回寄员工，后面又签到了8月30日  OK的电子版</t>
        </is>
      </c>
      <c r="H28" s="549" t="inlineStr">
        <is>
          <t>认证工程师</t>
        </is>
      </c>
      <c r="I28" s="551" t="n">
        <v>45420</v>
      </c>
      <c r="J28" s="552" t="inlineStr">
        <is>
          <t>2024年8月30日
短期释放已离职</t>
        </is>
      </c>
      <c r="K28" s="551" t="n">
        <v>45503</v>
      </c>
      <c r="L28" s="553" t="n">
        <v>45413</v>
      </c>
      <c r="M28" s="549" t="inlineStr">
        <is>
          <t>深圳</t>
        </is>
      </c>
      <c r="N28" s="549" t="inlineStr">
        <is>
          <t>深圳</t>
        </is>
      </c>
      <c r="O28" s="554" t="n">
        <v>9000</v>
      </c>
      <c r="P28" s="554" t="n">
        <v>9000</v>
      </c>
      <c r="Q28" s="532" t="n">
        <v>0</v>
      </c>
      <c r="R28" s="532" t="n">
        <v>0</v>
      </c>
      <c r="S28" s="532" t="n">
        <v>0</v>
      </c>
      <c r="T28" s="550" t="inlineStr">
        <is>
          <t>第一次合同：3个月
2024/5/8--2024/8/6
第二次合同：2024/8/6-2024/8/30延期说明</t>
        </is>
      </c>
      <c r="U28" s="549" t="inlineStr">
        <is>
          <t>短期 无试用期</t>
        </is>
      </c>
      <c r="V28" s="549" t="inlineStr">
        <is>
          <t>日语</t>
        </is>
      </c>
      <c r="W28" s="551" t="n">
        <v>42186</v>
      </c>
      <c r="X28" s="549" t="inlineStr">
        <is>
          <t>本科</t>
        </is>
      </c>
      <c r="Y28" s="557" t="inlineStr">
        <is>
          <t>purpletreecase@163.com</t>
        </is>
      </c>
      <c r="Z28" s="549" t="inlineStr">
        <is>
          <t>广东省深圳市南山区朗山路2号之一110室</t>
        </is>
      </c>
      <c r="AA28" s="549" t="inlineStr">
        <is>
          <t>广东省深圳市福田区梅林街道先科花园3栋217</t>
        </is>
      </c>
      <c r="AB28" s="197" t="n">
        <v>13798978464</v>
      </c>
      <c r="AC28" s="556" t="inlineStr">
        <is>
          <t>445122199112087026</t>
        </is>
      </c>
      <c r="AD28" s="556" t="inlineStr">
        <is>
          <t>6214677200035547016</t>
        </is>
      </c>
      <c r="AE28" s="549" t="inlineStr">
        <is>
          <t>中国建设银行</t>
        </is>
      </c>
      <c r="AG28" s="549" t="inlineStr">
        <is>
          <t>否</t>
        </is>
      </c>
      <c r="AH28" s="552" t="inlineStr">
        <is>
          <t>离职啦</t>
        </is>
      </c>
      <c r="AI28" s="82">
        <f>DATEDIF(--TEXT(MID(AC28,7,8),"0-00-00"),TODAY(),"y")</f>
        <v/>
      </c>
      <c r="AJ28" s="548">
        <f>TEXT(MID(AC28,7,8),"0000-00-00")</f>
        <v/>
      </c>
      <c r="AK28" s="95">
        <f>CHOOSE(MONTH(AJ28),1,1,1,2,2,2,3,3,3,4,4,4)</f>
        <v/>
      </c>
    </row>
    <row r="29" customFormat="1" s="532">
      <c r="A29" s="82" t="n">
        <v>16</v>
      </c>
      <c r="B29" s="532" t="inlineStr">
        <is>
          <t>汪晓康</t>
        </is>
      </c>
      <c r="C29" s="532" t="inlineStr">
        <is>
          <t>南京文石</t>
        </is>
      </c>
      <c r="D29" s="532" t="inlineStr">
        <is>
          <t>男</t>
        </is>
      </c>
      <c r="E29" s="532" t="n">
        <v>17000</v>
      </c>
      <c r="F29" s="541" t="inlineStr">
        <is>
          <t>工资13600/17000试用期8折
无其他补贴 无其他费用</t>
        </is>
      </c>
      <c r="G29" s="541" t="inlineStr">
        <is>
          <t>材料齐全 
已回寄员工
完美</t>
        </is>
      </c>
      <c r="H29" s="532" t="inlineStr">
        <is>
          <t>自动化测试开发工程师</t>
        </is>
      </c>
      <c r="I29" s="533" t="n">
        <v>45420</v>
      </c>
      <c r="J29" s="547" t="inlineStr">
        <is>
          <t>/</t>
        </is>
      </c>
      <c r="K29" s="547" t="inlineStr">
        <is>
          <t>2024/8/7转正工资
试用期时间6个月</t>
        </is>
      </c>
      <c r="L29" s="534" t="n">
        <v>45413</v>
      </c>
      <c r="M29" s="532" t="inlineStr">
        <is>
          <t>南京</t>
        </is>
      </c>
      <c r="N29" s="532" t="inlineStr">
        <is>
          <t>南京</t>
        </is>
      </c>
      <c r="O29" s="532" t="n">
        <v>13600</v>
      </c>
      <c r="P29" s="532" t="n">
        <v>17000</v>
      </c>
      <c r="Q29" s="532" t="n">
        <v>0</v>
      </c>
      <c r="R29" s="532" t="n">
        <v>0</v>
      </c>
      <c r="S29" s="532" t="n">
        <v>0</v>
      </c>
      <c r="T29" s="541" t="inlineStr">
        <is>
          <t>第一次合同：3年：
2024/5/8-2027/5/7</t>
        </is>
      </c>
      <c r="U29" s="541" t="inlineStr">
        <is>
          <t>试用期6个月
第3个月转正薪资</t>
        </is>
      </c>
      <c r="V29" s="532" t="inlineStr">
        <is>
          <t>电子信息工程</t>
        </is>
      </c>
      <c r="W29" s="533" t="n">
        <v>41821</v>
      </c>
      <c r="X29" s="532" t="inlineStr">
        <is>
          <t>本科</t>
        </is>
      </c>
      <c r="Y29" s="545" t="inlineStr">
        <is>
          <t>449103166@qq.com</t>
        </is>
      </c>
      <c r="Z29" s="532" t="inlineStr">
        <is>
          <t>安徽省来安县舜山镇炮嘴村冯圩组20号</t>
        </is>
      </c>
      <c r="AA29" s="532" t="inlineStr">
        <is>
          <t xml:space="preserve">南京市雨花台区安德门大街48号怡化中心A座11楼   </t>
        </is>
      </c>
      <c r="AB29" s="82" t="n">
        <v>18175215411</v>
      </c>
      <c r="AC29" s="546" t="inlineStr">
        <is>
          <t>341122199208125210</t>
        </is>
      </c>
      <c r="AD29" s="546" t="inlineStr">
        <is>
          <t>6217001210025309384</t>
        </is>
      </c>
      <c r="AE29" s="541" t="inlineStr">
        <is>
          <t>中国建设银行股份
有限公司上海沪亭
北路支行</t>
        </is>
      </c>
      <c r="AF29" s="532" t="n"/>
      <c r="AG29" s="532" t="inlineStr">
        <is>
          <t>是</t>
        </is>
      </c>
      <c r="AH29" s="547" t="inlineStr">
        <is>
          <t>第一次合同：3年：2024/5/8-2027/5/7</t>
        </is>
      </c>
      <c r="AI29" s="82">
        <f>DATEDIF(--TEXT(MID(AC29,7,8),"0-00-00"),TODAY(),"y")</f>
        <v/>
      </c>
      <c r="AJ29" s="548">
        <f>TEXT(MID(AC29,7,8),"0000-00-00")</f>
        <v/>
      </c>
      <c r="AK29" s="95">
        <f>CHOOSE(MONTH(AJ29),1,1,1,2,2,2,3,3,3,4,4,4)</f>
        <v/>
      </c>
    </row>
    <row r="30" customFormat="1" s="532">
      <c r="A30" s="82" t="n">
        <v>17</v>
      </c>
      <c r="B30" s="532" t="inlineStr">
        <is>
          <t>江杰</t>
        </is>
      </c>
      <c r="C30" s="532" t="inlineStr">
        <is>
          <t>上海文石</t>
        </is>
      </c>
      <c r="D30" s="532" t="inlineStr">
        <is>
          <t>男</t>
        </is>
      </c>
      <c r="E30" s="532">
        <f>11000+1500+2500</f>
        <v/>
      </c>
      <c r="F30" s="541" t="inlineStr">
        <is>
          <t>工资8800/11000试用期8折
无其他补贴 无其他费用
2024年12月起涨薪1500
目前工资11000+1500=12500
2025年5月起最终涨薪至15000元。</t>
        </is>
      </c>
      <c r="G30" s="541" t="inlineStr">
        <is>
          <t>材料齐全 
已回寄员工
完美</t>
        </is>
      </c>
      <c r="H30" s="532" t="inlineStr">
        <is>
          <t>自动驾驶车辆改装工程师</t>
        </is>
      </c>
      <c r="I30" s="533" t="n">
        <v>45432</v>
      </c>
      <c r="J30" s="547" t="inlineStr">
        <is>
          <t>/</t>
        </is>
      </c>
      <c r="K30" s="547" t="inlineStr">
        <is>
          <t>2024/8/19转正工资
试用期时间6个月</t>
        </is>
      </c>
      <c r="L30" s="534" t="n">
        <v>45444</v>
      </c>
      <c r="M30" s="532" t="inlineStr">
        <is>
          <t>上海</t>
        </is>
      </c>
      <c r="N30" s="532" t="inlineStr">
        <is>
          <t>上海</t>
        </is>
      </c>
      <c r="O30" s="532" t="n">
        <v>8800</v>
      </c>
      <c r="P30" s="532" t="n">
        <v>11000</v>
      </c>
      <c r="Q30" s="532" t="n">
        <v>0</v>
      </c>
      <c r="R30" s="532" t="n">
        <v>0</v>
      </c>
      <c r="S30" s="532" t="n">
        <v>0</v>
      </c>
      <c r="T30" s="541" t="inlineStr">
        <is>
          <t>第一次合同：3年：
2024/5/20-2027/5/19</t>
        </is>
      </c>
      <c r="U30" s="541" t="inlineStr">
        <is>
          <t>试用期6个月
第3个月转正薪资</t>
        </is>
      </c>
      <c r="V30" s="532" t="inlineStr">
        <is>
          <t>计算机应用技术</t>
        </is>
      </c>
      <c r="W30" s="533" t="n">
        <v>44197</v>
      </c>
      <c r="X30" s="532" t="inlineStr">
        <is>
          <t>专科</t>
        </is>
      </c>
      <c r="Y30" s="545" t="inlineStr">
        <is>
          <t>634214273@qq.com</t>
        </is>
      </c>
      <c r="Z30" s="532" t="inlineStr">
        <is>
          <t>安徽省定远县连江港江巷村小孙组30之1室</t>
        </is>
      </c>
      <c r="AA30" s="541" t="inlineStr">
        <is>
          <t>上海市嘉定区安亭镇黄渡钱家村47号105室
江杰
13817831080</t>
        </is>
      </c>
      <c r="AB30" s="82" t="n">
        <v>13817831080</v>
      </c>
      <c r="AC30" s="546" t="inlineStr">
        <is>
          <t>341125199108215998</t>
        </is>
      </c>
      <c r="AD30" s="546" t="inlineStr">
        <is>
          <t>6217001180020177617</t>
        </is>
      </c>
      <c r="AE30" s="532" t="inlineStr">
        <is>
          <t>中国建设银行</t>
        </is>
      </c>
      <c r="AF30" s="532" t="n"/>
      <c r="AG30" s="532" t="inlineStr">
        <is>
          <t>是</t>
        </is>
      </c>
      <c r="AH30" s="547" t="inlineStr">
        <is>
          <t>第一次合同：3年：2024/5/20-2027/5/19</t>
        </is>
      </c>
      <c r="AI30" s="82">
        <f>DATEDIF(--TEXT(MID(AC30,7,8),"0-00-00"),TODAY(),"y")</f>
        <v/>
      </c>
      <c r="AJ30" s="548">
        <f>TEXT(MID(AC30,7,8),"0000-00-00")</f>
        <v/>
      </c>
      <c r="AK30" s="95">
        <f>CHOOSE(MONTH(AJ30),1,1,1,2,2,2,3,3,3,4,4,4)</f>
        <v/>
      </c>
    </row>
    <row r="31" customFormat="1" s="532">
      <c r="A31" s="82" t="n">
        <v>18</v>
      </c>
      <c r="B31" s="532" t="inlineStr">
        <is>
          <t>宁梦雷</t>
        </is>
      </c>
      <c r="C31" s="532" t="inlineStr">
        <is>
          <t>上海文石</t>
        </is>
      </c>
      <c r="D31" s="532" t="inlineStr">
        <is>
          <t>男</t>
        </is>
      </c>
      <c r="E31" s="532" t="n">
        <v>19000</v>
      </c>
      <c r="F31" s="541" t="inlineStr">
        <is>
          <t>工资15200/19000试用期8折
无其他补贴 无其他费用</t>
        </is>
      </c>
      <c r="G31" s="541" t="inlineStr">
        <is>
          <t xml:space="preserve">材料齐全 
已回寄员工，体检报告真实？
宁梦雷25年06月想落户五险基数变19000，公积金基数最低，没谈好
</t>
        </is>
      </c>
      <c r="H31" s="532" t="inlineStr">
        <is>
          <t>系统验证工程师</t>
        </is>
      </c>
      <c r="I31" s="533" t="n">
        <v>45434</v>
      </c>
      <c r="J31" s="547" t="inlineStr">
        <is>
          <t>/</t>
        </is>
      </c>
      <c r="K31" s="547" t="inlineStr">
        <is>
          <t>2024/8/21转正工资
试用期时间6个月</t>
        </is>
      </c>
      <c r="L31" s="534" t="n">
        <v>45444</v>
      </c>
      <c r="M31" s="532" t="inlineStr">
        <is>
          <t>上海</t>
        </is>
      </c>
      <c r="N31" s="532" t="inlineStr">
        <is>
          <t>上海</t>
        </is>
      </c>
      <c r="O31" s="532" t="n">
        <v>15200</v>
      </c>
      <c r="P31" s="532" t="n">
        <v>19000</v>
      </c>
      <c r="Q31" s="532" t="n">
        <v>0</v>
      </c>
      <c r="R31" s="532" t="n">
        <v>0</v>
      </c>
      <c r="S31" s="532" t="n">
        <v>0</v>
      </c>
      <c r="T31" s="541" t="inlineStr">
        <is>
          <t>第一次合同：3年：
2024/5/22-2027/5/21</t>
        </is>
      </c>
      <c r="U31" s="541" t="inlineStr">
        <is>
          <t>试用期6个月
第3个月转正薪资</t>
        </is>
      </c>
      <c r="V31" s="532" t="inlineStr">
        <is>
          <t>计算机应用与科学</t>
        </is>
      </c>
      <c r="W31" s="533" t="n">
        <v>43282</v>
      </c>
      <c r="X31" s="532" t="inlineStr">
        <is>
          <t>本科</t>
        </is>
      </c>
      <c r="Y31" s="545" t="inlineStr">
        <is>
          <t>ningmenglei7051@163.com</t>
        </is>
      </c>
      <c r="Z31" s="532" t="inlineStr">
        <is>
          <t>安徽省阜阳市颍东区枣庄镇宁桥村宁岗庄20号</t>
        </is>
      </c>
      <c r="AA31" s="532" t="inlineStr">
        <is>
          <t>上海市浦东新区高桥镇海春路 150 弄 48 号 102 室宁梦雷 13524480990</t>
        </is>
      </c>
      <c r="AB31" s="82" t="n">
        <v>13524480990</v>
      </c>
      <c r="AC31" s="546" t="inlineStr">
        <is>
          <t>341203199404032819</t>
        </is>
      </c>
      <c r="AD31" s="546" t="inlineStr">
        <is>
          <t>6236681730001745837</t>
        </is>
      </c>
      <c r="AE31" s="532" t="inlineStr">
        <is>
          <t>中国建设银行股份有限公司阜阳淮河路支行</t>
        </is>
      </c>
      <c r="AF31" s="532" t="n"/>
      <c r="AG31" s="532" t="inlineStr">
        <is>
          <t>是</t>
        </is>
      </c>
      <c r="AH31" s="547" t="inlineStr">
        <is>
          <t>第一次合同：3年：2024/5/22-2027/5/21</t>
        </is>
      </c>
      <c r="AI31" s="82">
        <f>DATEDIF(--TEXT(MID(AC31,7,8),"0-00-00"),TODAY(),"y")</f>
        <v/>
      </c>
      <c r="AJ31" s="548">
        <f>TEXT(MID(AC31,7,8),"0000-00-00")</f>
        <v/>
      </c>
      <c r="AK31" s="95">
        <f>CHOOSE(MONTH(AJ31),1,1,1,2,2,2,3,3,3,4,4,4)</f>
        <v/>
      </c>
    </row>
    <row r="32" customFormat="1" s="549">
      <c r="A32" s="197" t="n">
        <v>30</v>
      </c>
      <c r="B32" s="550" t="inlineStr">
        <is>
          <t>周正
（2024年12月31日已离职）</t>
        </is>
      </c>
      <c r="C32" s="550" t="inlineStr">
        <is>
          <t>/</t>
        </is>
      </c>
      <c r="D32" s="549" t="inlineStr">
        <is>
          <t>男</t>
        </is>
      </c>
      <c r="E32" s="549" t="n">
        <v>14000</v>
      </c>
      <c r="F32" s="550" t="inlineStr">
        <is>
          <t xml:space="preserve">工资14k 无试用期
短期员工 缴纳五险一金
录用周期为  3 个月   6/3-8/31
每日餐补30元
</t>
        </is>
      </c>
      <c r="G32" s="550" t="inlineStr">
        <is>
          <t xml:space="preserve">第一份劳务协议2024.6月3日-2024.9月2日
第二份劳动合同2024.9月3日-2024.11月30日
第三份延长协议：2024.11.30-2024.12.31已签署 
均已签署，一式2份，完美
2024年12月31日短期释放lastday </t>
        </is>
      </c>
      <c r="H32" s="549" t="inlineStr">
        <is>
          <t>C#工程师</t>
        </is>
      </c>
      <c r="I32" s="551" t="n">
        <v>45446</v>
      </c>
      <c r="J32" s="552" t="inlineStr">
        <is>
          <t xml:space="preserve">2024年12月31日短期释放lastday </t>
        </is>
      </c>
      <c r="K32" s="552" t="inlineStr">
        <is>
          <t>无试用期</t>
        </is>
      </c>
      <c r="L32" s="553" t="n">
        <v>45444</v>
      </c>
      <c r="M32" s="549" t="inlineStr">
        <is>
          <t>武汉</t>
        </is>
      </c>
      <c r="N32" s="549" t="inlineStr">
        <is>
          <t>武汉</t>
        </is>
      </c>
      <c r="O32" s="554" t="n">
        <v>11200</v>
      </c>
      <c r="P32" s="554" t="n">
        <v>14000</v>
      </c>
      <c r="Q32" s="532" t="n">
        <v>0</v>
      </c>
      <c r="R32" s="532" t="n">
        <v>0</v>
      </c>
      <c r="S32" s="532" t="n">
        <v>0</v>
      </c>
      <c r="T32" s="550" t="inlineStr">
        <is>
          <t xml:space="preserve">第一份劳务协议2024.6月3日-2024.9月2日
第二份劳动合同2024.9月3日-2024.11月30日
第三份延长协议：2024.11.30-2024.12.31已签署 
</t>
        </is>
      </c>
      <c r="U32" s="549" t="inlineStr">
        <is>
          <t>短期 无试用期</t>
        </is>
      </c>
      <c r="V32" s="549" t="inlineStr">
        <is>
          <t>计算机信息管理</t>
        </is>
      </c>
      <c r="W32" s="551" t="n">
        <v>43253</v>
      </c>
      <c r="X32" s="549" t="inlineStr">
        <is>
          <t>专科</t>
        </is>
      </c>
      <c r="Y32" s="557" t="inlineStr">
        <is>
          <t>2695348936@qq.com</t>
        </is>
      </c>
      <c r="Z32" s="549" t="inlineStr">
        <is>
          <t>湖北省天门市黄潭镇鲁店村三组</t>
        </is>
      </c>
      <c r="AA32" s="549" t="inlineStr">
        <is>
          <t>周正，湖北省武汉市锦绣龙城h区  ， 18664748275</t>
        </is>
      </c>
      <c r="AB32" s="197" t="n">
        <v>18664748275</v>
      </c>
      <c r="AC32" s="556" t="inlineStr">
        <is>
          <t>429006199702281552</t>
        </is>
      </c>
      <c r="AD32" s="556" t="inlineStr">
        <is>
          <t>6217002870097268310</t>
        </is>
      </c>
      <c r="AE32" s="549" t="inlineStr">
        <is>
          <t>中国建设银行</t>
        </is>
      </c>
      <c r="AF32" s="549" t="n"/>
      <c r="AG32" s="549" t="inlineStr">
        <is>
          <t>否</t>
        </is>
      </c>
      <c r="AH32" s="552" t="inlineStr">
        <is>
          <t>离职啦</t>
        </is>
      </c>
      <c r="AI32" s="82">
        <f>DATEDIF(--TEXT(MID(AC32,7,8),"0-00-00"),TODAY(),"y")</f>
        <v/>
      </c>
      <c r="AJ32" s="548">
        <f>TEXT(MID(AC32,7,8),"0000-00-00")</f>
        <v/>
      </c>
      <c r="AK32" s="95">
        <f>CHOOSE(MONTH(AJ32),1,1,1,2,2,2,3,3,3,4,4,4)</f>
        <v/>
      </c>
    </row>
    <row r="33" customFormat="1" s="532">
      <c r="A33" s="82" t="n">
        <v>19</v>
      </c>
      <c r="B33" s="532" t="inlineStr">
        <is>
          <t>赵东起</t>
        </is>
      </c>
      <c r="C33" s="532" t="inlineStr">
        <is>
          <t>上海文石</t>
        </is>
      </c>
      <c r="D33" s="532" t="inlineStr">
        <is>
          <t>男</t>
        </is>
      </c>
      <c r="E33" s="532">
        <f>12000+1500+1500</f>
        <v/>
      </c>
      <c r="F33" s="541" t="inlineStr">
        <is>
          <t>工资9600/12k，试用期8折
无其他补贴 无其他费用，2024年12月涨薪1500
目前工资=12000+1500=13500
赵东起自2026年5月起涨薪1500元，现在工资13500+1500=15000</t>
        </is>
      </c>
      <c r="G33" s="541" t="inlineStr">
        <is>
          <t>材料缺体检报告已催促
已回寄员工</t>
        </is>
      </c>
      <c r="H33" s="532" t="inlineStr">
        <is>
          <t>智能驾驶车辆改装工程师</t>
        </is>
      </c>
      <c r="I33" s="533" t="n">
        <v>45448</v>
      </c>
      <c r="J33" s="547" t="inlineStr">
        <is>
          <t>/</t>
        </is>
      </c>
      <c r="K33" s="547" t="inlineStr">
        <is>
          <t>2024/9/4转正工资
试用期时间6个月</t>
        </is>
      </c>
      <c r="L33" s="534" t="n">
        <v>45444</v>
      </c>
      <c r="M33" s="532" t="inlineStr">
        <is>
          <t>上海</t>
        </is>
      </c>
      <c r="N33" s="532" t="inlineStr">
        <is>
          <t>上海</t>
        </is>
      </c>
      <c r="O33" s="532" t="n">
        <v>10400</v>
      </c>
      <c r="P33" s="532" t="n">
        <v>13000</v>
      </c>
      <c r="Q33" s="532" t="n">
        <v>0</v>
      </c>
      <c r="R33" s="532" t="n">
        <v>0</v>
      </c>
      <c r="S33" s="532" t="n">
        <v>0</v>
      </c>
      <c r="T33" s="541" t="inlineStr">
        <is>
          <t>第一次合同：3年：
2024/6/5-2027/6/4</t>
        </is>
      </c>
      <c r="U33" s="541" t="inlineStr">
        <is>
          <t>试用期6个月
第3个月转正薪资</t>
        </is>
      </c>
      <c r="V33" s="532" t="inlineStr">
        <is>
          <t>计算机应用</t>
        </is>
      </c>
      <c r="W33" s="533" t="n">
        <v>43617</v>
      </c>
      <c r="X33" s="532" t="inlineStr">
        <is>
          <t>中专</t>
        </is>
      </c>
      <c r="Y33" s="532" t="inlineStr">
        <is>
          <t>2133346759@qq.com</t>
        </is>
      </c>
      <c r="Z33" s="532" t="inlineStr">
        <is>
          <t>河北省承德围场满族蒙古族自治县腰站镇画山村西地41号</t>
        </is>
      </c>
      <c r="AA33" s="532" t="inlineStr">
        <is>
          <t>上海市嘉定区安亭镇朱家村238号</t>
        </is>
      </c>
      <c r="AB33" s="82" t="n">
        <v>15097832152</v>
      </c>
      <c r="AC33" s="546" t="inlineStr">
        <is>
          <t>130828200004140832</t>
        </is>
      </c>
      <c r="AD33" s="546" t="inlineStr">
        <is>
          <t>6215340301710074724</t>
        </is>
      </c>
      <c r="AE33" s="532" t="inlineStr">
        <is>
          <t>中国建设银行</t>
        </is>
      </c>
      <c r="AF33" s="532" t="n"/>
      <c r="AG33" s="532" t="inlineStr">
        <is>
          <t>是</t>
        </is>
      </c>
      <c r="AH33" s="547" t="inlineStr">
        <is>
          <t>第一次合同：3年：2024/6/5-2027/6/4</t>
        </is>
      </c>
      <c r="AI33" s="82">
        <f>DATEDIF(--TEXT(MID(AC33,7,8),"0-00-00"),TODAY(),"y")</f>
        <v/>
      </c>
      <c r="AJ33" s="548">
        <f>TEXT(MID(AC33,7,8),"0000-00-00")</f>
        <v/>
      </c>
      <c r="AK33" s="95">
        <f>CHOOSE(MONTH(AJ33),1,1,1,2,2,2,3,3,3,4,4,4)</f>
        <v/>
      </c>
    </row>
    <row r="34" s="558">
      <c r="A34" s="82" t="n">
        <v>20</v>
      </c>
      <c r="B34" s="532" t="inlineStr">
        <is>
          <t>冉松林</t>
        </is>
      </c>
      <c r="C34" s="532" t="inlineStr">
        <is>
          <t>今才</t>
        </is>
      </c>
      <c r="D34" s="532" t="inlineStr">
        <is>
          <t>男</t>
        </is>
      </c>
      <c r="E34" s="532" t="n">
        <v>13000</v>
      </c>
      <c r="F34" s="541" t="inlineStr">
        <is>
          <t>工资10.4k/13k，试用期8折
每日交通补15元</t>
        </is>
      </c>
      <c r="G34" s="541" t="inlineStr">
        <is>
          <t>材料齐全 
已回寄员工
完美</t>
        </is>
      </c>
      <c r="H34" s="532" t="inlineStr">
        <is>
          <t>功能fae工程师</t>
        </is>
      </c>
      <c r="I34" s="533" t="n">
        <v>45462</v>
      </c>
      <c r="J34" s="547" t="inlineStr">
        <is>
          <t>/</t>
        </is>
      </c>
      <c r="K34" s="547" t="inlineStr">
        <is>
          <t>2024/9/18转正工资
试用期时间6个月</t>
        </is>
      </c>
      <c r="L34" s="534" t="n">
        <v>45475</v>
      </c>
      <c r="M34" s="532" t="inlineStr">
        <is>
          <t>重庆</t>
        </is>
      </c>
      <c r="N34" s="532" t="inlineStr">
        <is>
          <t>重庆</t>
        </is>
      </c>
      <c r="O34" s="532" t="n">
        <v>10400</v>
      </c>
      <c r="P34" s="532" t="n">
        <v>13000</v>
      </c>
      <c r="Q34" s="532" t="n">
        <v>0</v>
      </c>
      <c r="R34" s="532" t="n">
        <v>0</v>
      </c>
      <c r="S34" s="532" t="n">
        <v>0</v>
      </c>
      <c r="T34" s="541" t="inlineStr">
        <is>
          <t>第一次合同：3年：
2024/6/19-2027/6/18</t>
        </is>
      </c>
      <c r="U34" s="541" t="inlineStr">
        <is>
          <t>试用期6个月
第3个月转正薪资</t>
        </is>
      </c>
      <c r="V34" s="532" t="inlineStr">
        <is>
          <t>酒店管理</t>
        </is>
      </c>
      <c r="W34" s="533" t="n">
        <v>43253</v>
      </c>
      <c r="X34" s="532" t="inlineStr">
        <is>
          <t>专科</t>
        </is>
      </c>
      <c r="Y34" s="545" t="inlineStr">
        <is>
          <t>17691586420@163.com</t>
        </is>
      </c>
      <c r="Z34" s="532" t="inlineStr">
        <is>
          <t>重庆市彭水县鹿鸣乡龙田村1组130号</t>
        </is>
      </c>
      <c r="AA34" s="541" t="inlineStr">
        <is>
          <t>重庆市沙坪坝区站西路华宇西城丽景  
冉松林  17691586420</t>
        </is>
      </c>
      <c r="AB34" s="82" t="n">
        <v>17691586420</v>
      </c>
      <c r="AC34" s="546" t="inlineStr">
        <is>
          <t>500243199701106255</t>
        </is>
      </c>
      <c r="AD34" s="546" t="inlineStr">
        <is>
          <t>6217003760173099250</t>
        </is>
      </c>
      <c r="AE34" s="532" t="inlineStr">
        <is>
          <t>中国建设银行</t>
        </is>
      </c>
      <c r="AG34" s="532" t="inlineStr">
        <is>
          <t>是</t>
        </is>
      </c>
      <c r="AH34" s="547" t="inlineStr">
        <is>
          <t>第一次合同：3年：2024/6/19-2027/6/18</t>
        </is>
      </c>
      <c r="AI34" s="82">
        <f>DATEDIF(--TEXT(MID(AC34,7,8),"0-00-00"),TODAY(),"y")</f>
        <v/>
      </c>
      <c r="AJ34" s="548">
        <f>TEXT(MID(AC34,7,8),"0000-00-00")</f>
        <v/>
      </c>
      <c r="AK34" s="95">
        <f>CHOOSE(MONTH(AJ34),1,1,1,2,2,2,3,3,3,4,4,4)</f>
        <v/>
      </c>
    </row>
    <row r="35" customFormat="1" s="549">
      <c r="A35" s="197" t="n">
        <v>33</v>
      </c>
      <c r="B35" s="550" t="inlineStr">
        <is>
          <t>于绪忠
（2024年9月27日已离职）</t>
        </is>
      </c>
      <c r="C35" s="550" t="inlineStr">
        <is>
          <t>/</t>
        </is>
      </c>
      <c r="D35" s="549" t="inlineStr">
        <is>
          <t>男</t>
        </is>
      </c>
      <c r="E35" s="549" t="n">
        <v>17000</v>
      </c>
      <c r="F35" s="550" t="inlineStr">
        <is>
          <t>工资13600/17000，试用期8折
无其他补贴 无其他费用</t>
        </is>
      </c>
      <c r="G35" s="550" t="inlineStr">
        <is>
          <t>材料齐全 
已回寄员工
完美-
（胆固醇高，转氨酶高）
谈释放离职时间:9月27日,客户给发工资到9月30日</t>
        </is>
      </c>
      <c r="H35" s="549" t="inlineStr">
        <is>
          <t>可靠性测试工程师</t>
        </is>
      </c>
      <c r="I35" s="551" t="n">
        <v>45462</v>
      </c>
      <c r="J35" s="552" t="inlineStr">
        <is>
          <t>谈释放离职时间:2024年9月27日,客户给发工资到9月30日</t>
        </is>
      </c>
      <c r="K35" s="552" t="inlineStr">
        <is>
          <t>2024/9/18转正工资
试用期时间6个月</t>
        </is>
      </c>
      <c r="L35" s="553" t="n">
        <v>45475</v>
      </c>
      <c r="M35" s="549" t="inlineStr">
        <is>
          <t>上海</t>
        </is>
      </c>
      <c r="N35" s="549" t="inlineStr">
        <is>
          <t>上海</t>
        </is>
      </c>
      <c r="O35" s="554" t="n">
        <v>13600</v>
      </c>
      <c r="P35" s="554" t="n">
        <v>17000</v>
      </c>
      <c r="Q35" s="532" t="n">
        <v>0</v>
      </c>
      <c r="R35" s="532" t="n">
        <v>0</v>
      </c>
      <c r="S35" s="532" t="n">
        <v>0</v>
      </c>
      <c r="T35" s="550" t="inlineStr">
        <is>
          <t>第一次合同：3年：
2024/6/19-2027/6/18</t>
        </is>
      </c>
      <c r="U35" s="550" t="inlineStr">
        <is>
          <t>试用期6个月
第3个月转正薪资</t>
        </is>
      </c>
      <c r="V35" s="549" t="inlineStr">
        <is>
          <t>机电一体化技术</t>
        </is>
      </c>
      <c r="W35" s="551" t="n">
        <v>40909</v>
      </c>
      <c r="X35" s="549" t="inlineStr">
        <is>
          <t>专科</t>
        </is>
      </c>
      <c r="Y35" s="557" t="inlineStr">
        <is>
          <t>415562269@qq.com</t>
        </is>
      </c>
      <c r="Z35" s="549" t="inlineStr">
        <is>
          <t>江苏省赣榆县黑林镇西石沟村四队283号</t>
        </is>
      </c>
      <c r="AA35" s="550" t="inlineStr">
        <is>
          <t>上海市闵行区浦江镇浦涛路751弄水语人家南院65号501室
13621787642</t>
        </is>
      </c>
      <c r="AB35" s="197" t="n">
        <v>13621787642</v>
      </c>
      <c r="AC35" s="556" t="inlineStr">
        <is>
          <t>320721198805173816</t>
        </is>
      </c>
      <c r="AD35" s="556" t="inlineStr">
        <is>
          <t>6217001180021244119</t>
        </is>
      </c>
      <c r="AE35" s="549" t="inlineStr">
        <is>
          <t>中国建设银行</t>
        </is>
      </c>
      <c r="AF35" s="549" t="n"/>
      <c r="AG35" s="549" t="inlineStr">
        <is>
          <t>否</t>
        </is>
      </c>
      <c r="AH35" s="552" t="inlineStr">
        <is>
          <t>离职啦</t>
        </is>
      </c>
      <c r="AI35" s="82">
        <f>DATEDIF(--TEXT(MID(AC35,7,8),"0-00-00"),TODAY(),"y")</f>
        <v/>
      </c>
      <c r="AJ35" s="548">
        <f>TEXT(MID(AC35,7,8),"0000-00-00")</f>
        <v/>
      </c>
      <c r="AK35" s="95">
        <f>CHOOSE(MONTH(AJ35),1,1,1,2,2,2,3,3,3,4,4,4)</f>
        <v/>
      </c>
    </row>
    <row r="36" s="558">
      <c r="A36" s="82" t="n">
        <v>21</v>
      </c>
      <c r="B36" s="532" t="inlineStr">
        <is>
          <t>刘深园</t>
        </is>
      </c>
      <c r="C36" s="541" t="inlineStr">
        <is>
          <t>北京文石</t>
        </is>
      </c>
      <c r="D36" s="532" t="inlineStr">
        <is>
          <t>男</t>
        </is>
      </c>
      <c r="E36" s="532">
        <f>12000+3000</f>
        <v/>
      </c>
      <c r="F36" s="541" t="inlineStr">
        <is>
          <t xml:space="preserve"> 工资9600/12000，2025年5月起最终涨薪至15000元。试用期8折
无其他补贴 无其他费用</t>
        </is>
      </c>
      <c r="G36" s="541" t="inlineStr">
        <is>
          <t>材料齐全 
已回寄员工
完美</t>
        </is>
      </c>
      <c r="H36" s="532" t="inlineStr">
        <is>
          <t>智能驾驶车辆改装工程师</t>
        </is>
      </c>
      <c r="I36" s="533" t="n">
        <v>45467</v>
      </c>
      <c r="J36" s="547" t="inlineStr">
        <is>
          <t>/</t>
        </is>
      </c>
      <c r="K36" s="547" t="inlineStr">
        <is>
          <t>2024/9/23转正工资
试用期时间6个月</t>
        </is>
      </c>
      <c r="L36" s="534" t="n">
        <v>45475</v>
      </c>
      <c r="M36" s="532" t="inlineStr">
        <is>
          <t>北京</t>
        </is>
      </c>
      <c r="N36" s="532" t="inlineStr">
        <is>
          <t>北京</t>
        </is>
      </c>
      <c r="O36" s="532" t="n">
        <v>9600</v>
      </c>
      <c r="P36" s="532" t="n">
        <v>12000</v>
      </c>
      <c r="Q36" s="532" t="n">
        <v>0</v>
      </c>
      <c r="R36" s="532" t="n">
        <v>0</v>
      </c>
      <c r="S36" s="532" t="n">
        <v>0</v>
      </c>
      <c r="T36" s="541" t="inlineStr">
        <is>
          <t>第一次合同：3年：
2024/6/24-2027/6/23</t>
        </is>
      </c>
      <c r="U36" s="541" t="inlineStr">
        <is>
          <t>试用期6个月
第3个月转正薪资</t>
        </is>
      </c>
      <c r="V36" s="532" t="inlineStr">
        <is>
          <t>汽车维修</t>
        </is>
      </c>
      <c r="W36" s="533" t="n">
        <v>41061</v>
      </c>
      <c r="X36" s="532" t="inlineStr">
        <is>
          <t>中专</t>
        </is>
      </c>
      <c r="Y36" s="545" t="inlineStr">
        <is>
          <t>2420477503@qq.com</t>
        </is>
      </c>
      <c r="Z36" s="532" t="inlineStr">
        <is>
          <t>安徽省临泉县宋集镇柳集村委会刘东6号</t>
        </is>
      </c>
      <c r="AA36" s="541" t="inlineStr">
        <is>
          <t>海淀区翠湖科技园3号院19号楼地平线
15510738645</t>
        </is>
      </c>
      <c r="AB36" s="82" t="n">
        <v>15510738645</v>
      </c>
      <c r="AC36" s="546" t="inlineStr">
        <is>
          <t xml:space="preserve">341221199505025231 </t>
        </is>
      </c>
      <c r="AD36" s="546" t="inlineStr">
        <is>
          <t>6215340300006514740</t>
        </is>
      </c>
      <c r="AE36" s="532" t="inlineStr">
        <is>
          <t>中国建设银行</t>
        </is>
      </c>
      <c r="AG36" s="532" t="inlineStr">
        <is>
          <t>是</t>
        </is>
      </c>
      <c r="AH36" s="547" t="inlineStr">
        <is>
          <t>第一次合同：3年：2024/6/24-2027/6/23</t>
        </is>
      </c>
      <c r="AI36" s="82">
        <f>DATEDIF(--TEXT(MID(AC36,7,8),"0-00-00"),TODAY(),"y")</f>
        <v/>
      </c>
      <c r="AJ36" s="548">
        <f>TEXT(MID(AC36,7,8),"0000-00-00")</f>
        <v/>
      </c>
      <c r="AK36" s="95">
        <f>CHOOSE(MONTH(AJ36),1,1,1,2,2,2,3,3,3,4,4,4)</f>
        <v/>
      </c>
    </row>
    <row r="37" customFormat="1" s="532">
      <c r="A37" s="82" t="n">
        <v>22</v>
      </c>
      <c r="B37" s="532" t="inlineStr">
        <is>
          <t>王勇</t>
        </is>
      </c>
      <c r="C37" s="532" t="inlineStr">
        <is>
          <t>南京文石</t>
        </is>
      </c>
      <c r="D37" s="532" t="inlineStr">
        <is>
          <t>男</t>
        </is>
      </c>
      <c r="E37" s="532">
        <f>9500+2000</f>
        <v/>
      </c>
      <c r="F37" s="541" t="inlineStr">
        <is>
          <t>工资9500，试用期不打折
无其他补贴 无其他费用。
王勇自2026年5月起涨薪2000元，现在工资9500+2000=11500</t>
        </is>
      </c>
      <c r="G37" s="541" t="inlineStr">
        <is>
          <t>材料齐全 
已回寄员工
完美</t>
        </is>
      </c>
      <c r="H37" s="532" t="inlineStr">
        <is>
          <t>司机队长</t>
        </is>
      </c>
      <c r="I37" s="533" t="n">
        <v>45468</v>
      </c>
      <c r="J37" s="547" t="inlineStr">
        <is>
          <t>/</t>
        </is>
      </c>
      <c r="K37" s="547" t="inlineStr">
        <is>
          <t>2024/6/25转正工资
试用期时间6个月</t>
        </is>
      </c>
      <c r="L37" s="534" t="n">
        <v>45475</v>
      </c>
      <c r="M37" s="532" t="inlineStr">
        <is>
          <t>南京</t>
        </is>
      </c>
      <c r="N37" s="532" t="inlineStr">
        <is>
          <t>南京</t>
        </is>
      </c>
      <c r="O37" s="532" t="n">
        <v>7600</v>
      </c>
      <c r="P37" s="532" t="n">
        <v>9500</v>
      </c>
      <c r="Q37" s="532" t="n">
        <v>0</v>
      </c>
      <c r="R37" s="532" t="n">
        <v>0</v>
      </c>
      <c r="S37" s="532" t="n">
        <v>0</v>
      </c>
      <c r="T37" s="541" t="inlineStr">
        <is>
          <t>第一次合同：3年：
2024/6/25-2027/6/24</t>
        </is>
      </c>
      <c r="U37" s="541" t="inlineStr">
        <is>
          <t>试用期6个月
第0个月转正薪资
9600工资不打折</t>
        </is>
      </c>
      <c r="V37" s="532" t="inlineStr">
        <is>
          <t>工艺美术</t>
        </is>
      </c>
      <c r="W37" s="533" t="n">
        <v>37074</v>
      </c>
      <c r="X37" s="532" t="inlineStr">
        <is>
          <t>中专</t>
        </is>
      </c>
      <c r="Y37" s="545" t="inlineStr">
        <is>
          <t>30114565@qq.com</t>
        </is>
      </c>
      <c r="Z37" s="532" t="inlineStr">
        <is>
          <t>南京市沿江开发区健民路323号9幢1405室</t>
        </is>
      </c>
      <c r="AA37" s="541" t="inlineStr">
        <is>
          <t>江苏省南京市栖霞区恒广路20号南大紫金
王勇15150521285</t>
        </is>
      </c>
      <c r="AB37" s="82" t="n">
        <v>15150521285</v>
      </c>
      <c r="AC37" s="546" t="inlineStr">
        <is>
          <t>230302198311014417</t>
        </is>
      </c>
      <c r="AD37" s="546" t="inlineStr">
        <is>
          <t>4367421375760317657</t>
        </is>
      </c>
      <c r="AE37" s="532" t="inlineStr">
        <is>
          <t>中国建设银行</t>
        </is>
      </c>
      <c r="AF37" s="532" t="n"/>
      <c r="AG37" s="532" t="inlineStr">
        <is>
          <t>是</t>
        </is>
      </c>
      <c r="AH37" s="547" t="inlineStr">
        <is>
          <t>第一次合同：3年：2024/6/25-2027/6/24</t>
        </is>
      </c>
      <c r="AI37" s="82">
        <f>DATEDIF(--TEXT(MID(AC37,7,8),"0-00-00"),TODAY(),"y")</f>
        <v/>
      </c>
      <c r="AJ37" s="548">
        <f>TEXT(MID(AC37,7,8),"0000-00-00")</f>
        <v/>
      </c>
      <c r="AK37" s="95">
        <f>CHOOSE(MONTH(AJ37),1,1,1,2,2,2,3,3,3,4,4,4)</f>
        <v/>
      </c>
    </row>
    <row r="38" customFormat="1" s="549">
      <c r="A38" s="197" t="n">
        <v>37</v>
      </c>
      <c r="B38" s="559" t="inlineStr">
        <is>
          <t>蔡斌
（兼职版本，7月14日结束）-不用管这个版本</t>
        </is>
      </c>
      <c r="C38" s="559" t="inlineStr">
        <is>
          <t>/</t>
        </is>
      </c>
      <c r="D38" s="549" t="inlineStr">
        <is>
          <t>男</t>
        </is>
      </c>
      <c r="E38" s="549" t="n">
        <v>830</v>
      </c>
      <c r="F38" s="550" t="inlineStr">
        <is>
          <t>短期支撑
工资830一天
周六周日上班双倍工资</t>
        </is>
      </c>
      <c r="G38" s="550" t="inlineStr">
        <is>
          <t>无需邮寄合同，短期支撑</t>
        </is>
      </c>
      <c r="H38" s="549" t="inlineStr">
        <is>
          <t>实车测试</t>
        </is>
      </c>
      <c r="I38" s="551" t="n">
        <v>45450</v>
      </c>
      <c r="J38" s="552" t="inlineStr">
        <is>
          <t>/</t>
        </is>
      </c>
      <c r="K38" s="552" t="inlineStr">
        <is>
          <t>/</t>
        </is>
      </c>
      <c r="L38" s="553" t="inlineStr">
        <is>
          <t>/</t>
        </is>
      </c>
      <c r="M38" s="549" t="inlineStr">
        <is>
          <t>芜湖</t>
        </is>
      </c>
      <c r="N38" s="549" t="inlineStr">
        <is>
          <t>不需要</t>
        </is>
      </c>
      <c r="O38" s="554" t="n">
        <v>830</v>
      </c>
      <c r="P38" s="554" t="n">
        <v>830</v>
      </c>
      <c r="Q38" s="532" t="n">
        <v>0</v>
      </c>
      <c r="R38" s="532" t="n">
        <v>0</v>
      </c>
      <c r="S38" s="532" t="n">
        <v>0</v>
      </c>
      <c r="T38" s="549" t="inlineStr">
        <is>
          <t>/</t>
        </is>
      </c>
      <c r="U38" s="549" t="inlineStr">
        <is>
          <t>/</t>
        </is>
      </c>
      <c r="V38" s="549" t="inlineStr">
        <is>
          <t>/</t>
        </is>
      </c>
      <c r="W38" s="551" t="inlineStr">
        <is>
          <t>/</t>
        </is>
      </c>
      <c r="X38" s="549" t="inlineStr">
        <is>
          <t>/</t>
        </is>
      </c>
      <c r="Y38" s="549" t="inlineStr">
        <is>
          <t>/</t>
        </is>
      </c>
      <c r="Z38" s="549" t="inlineStr">
        <is>
          <t>/</t>
        </is>
      </c>
      <c r="AA38" s="549" t="inlineStr">
        <is>
          <t>/</t>
        </is>
      </c>
      <c r="AB38" s="197" t="n">
        <v>13661666104</v>
      </c>
      <c r="AC38" s="560" t="inlineStr">
        <is>
          <t xml:space="preserve">411528199303204150
</t>
        </is>
      </c>
      <c r="AD38" s="549" t="inlineStr">
        <is>
          <t>6214 8352 6206 9311</t>
        </is>
      </c>
      <c r="AE38" s="549" t="inlineStr">
        <is>
          <t>招商银行昆山城东支行</t>
        </is>
      </c>
      <c r="AF38" s="549" t="n"/>
      <c r="AG38" s="549" t="inlineStr">
        <is>
          <t>否</t>
        </is>
      </c>
      <c r="AH38" s="552" t="inlineStr">
        <is>
          <t>离职啦</t>
        </is>
      </c>
      <c r="AI38" s="82">
        <f>DATEDIF(--TEXT(MID(AC38,7,8),"0-00-00"),TODAY(),"y")</f>
        <v/>
      </c>
      <c r="AJ38" s="548">
        <f>TEXT(MID(AC38,7,8),"0000-00-00")</f>
        <v/>
      </c>
      <c r="AK38" s="95">
        <f>CHOOSE(MONTH(AJ38),1,1,1,2,2,2,3,3,3,4,4,4)</f>
        <v/>
      </c>
    </row>
    <row r="39" customFormat="1" s="549">
      <c r="A39" s="197" t="n">
        <v>38</v>
      </c>
      <c r="B39" s="559" t="inlineStr">
        <is>
          <t>童禹琪
（兼职版本，7月14日结束）-不用管这个版本</t>
        </is>
      </c>
      <c r="C39" s="559" t="inlineStr">
        <is>
          <t>/</t>
        </is>
      </c>
      <c r="D39" s="549" t="inlineStr">
        <is>
          <t>男</t>
        </is>
      </c>
      <c r="E39" s="549" t="n">
        <v>800</v>
      </c>
      <c r="F39" s="550" t="inlineStr">
        <is>
          <t>短期支撑
 工资800一天
周六周日上班双倍工资</t>
        </is>
      </c>
      <c r="G39" s="550" t="inlineStr">
        <is>
          <t>无需邮寄合同，短期支撑</t>
        </is>
      </c>
      <c r="H39" s="549" t="inlineStr">
        <is>
          <t>实车测试</t>
        </is>
      </c>
      <c r="I39" s="551" t="n">
        <v>45450</v>
      </c>
      <c r="J39" s="552" t="inlineStr">
        <is>
          <t>/</t>
        </is>
      </c>
      <c r="K39" s="552" t="inlineStr">
        <is>
          <t>/</t>
        </is>
      </c>
      <c r="L39" s="553" t="inlineStr">
        <is>
          <t>/</t>
        </is>
      </c>
      <c r="M39" s="549" t="inlineStr">
        <is>
          <t>芜湖</t>
        </is>
      </c>
      <c r="N39" s="549" t="inlineStr">
        <is>
          <t>不需要</t>
        </is>
      </c>
      <c r="O39" s="554" t="n">
        <v>800</v>
      </c>
      <c r="P39" s="554" t="n">
        <v>800</v>
      </c>
      <c r="Q39" s="532" t="n">
        <v>0</v>
      </c>
      <c r="R39" s="532" t="n">
        <v>0</v>
      </c>
      <c r="S39" s="532" t="n">
        <v>0</v>
      </c>
      <c r="T39" s="549" t="inlineStr">
        <is>
          <t>/</t>
        </is>
      </c>
      <c r="U39" s="549" t="inlineStr">
        <is>
          <t>/</t>
        </is>
      </c>
      <c r="V39" s="549" t="inlineStr">
        <is>
          <t>/</t>
        </is>
      </c>
      <c r="W39" s="551" t="inlineStr">
        <is>
          <t>/</t>
        </is>
      </c>
      <c r="X39" s="549" t="inlineStr">
        <is>
          <t>/</t>
        </is>
      </c>
      <c r="Y39" s="549" t="inlineStr">
        <is>
          <t>/</t>
        </is>
      </c>
      <c r="Z39" s="549" t="inlineStr">
        <is>
          <t>/</t>
        </is>
      </c>
      <c r="AA39" s="549" t="inlineStr">
        <is>
          <t>/</t>
        </is>
      </c>
      <c r="AB39" s="206" t="inlineStr">
        <is>
          <t xml:space="preserve">18221820585
</t>
        </is>
      </c>
      <c r="AC39" s="556" t="inlineStr">
        <is>
          <t>510402199908103831</t>
        </is>
      </c>
      <c r="AD39" s="556" t="inlineStr">
        <is>
          <t>6214831774018425</t>
        </is>
      </c>
      <c r="AE39" s="549" t="inlineStr">
        <is>
          <t>招商银行上海宝山支行</t>
        </is>
      </c>
      <c r="AF39" s="549" t="n"/>
      <c r="AG39" s="549" t="inlineStr">
        <is>
          <t>否</t>
        </is>
      </c>
      <c r="AH39" s="552" t="inlineStr">
        <is>
          <t>离职啦</t>
        </is>
      </c>
      <c r="AI39" s="82">
        <f>DATEDIF(--TEXT(MID(AC39,7,8),"0-00-00"),TODAY(),"y")</f>
        <v/>
      </c>
      <c r="AJ39" s="548">
        <f>TEXT(MID(AC39,7,8),"0000-00-00")</f>
        <v/>
      </c>
      <c r="AK39" s="95">
        <f>CHOOSE(MONTH(AJ39),1,1,1,2,2,2,3,3,3,4,4,4)</f>
        <v/>
      </c>
    </row>
    <row r="40" customFormat="1" s="549">
      <c r="A40" s="197" t="n">
        <v>40</v>
      </c>
      <c r="B40" s="550" t="inlineStr">
        <is>
          <t>梁昕悦
（2025/6/19已离职）</t>
        </is>
      </c>
      <c r="C40" s="550" t="inlineStr">
        <is>
          <t>/</t>
        </is>
      </c>
      <c r="D40" s="549" t="inlineStr">
        <is>
          <t>女</t>
        </is>
      </c>
      <c r="E40" s="549" t="n">
        <v>12000</v>
      </c>
      <c r="F40" s="550" t="inlineStr">
        <is>
          <t>工资9600/12000，试用期8折
无其他补贴 无其他费用</t>
        </is>
      </c>
      <c r="G40" s="550" t="inlineStr">
        <is>
          <t>材料齐全 
已回寄员工
完美</t>
        </is>
      </c>
      <c r="H40" s="549" t="inlineStr">
        <is>
          <t>人力行政专员</t>
        </is>
      </c>
      <c r="I40" s="551" t="n">
        <v>45477</v>
      </c>
      <c r="J40" s="552" t="inlineStr">
        <is>
          <t>lastday2025/6/19主动离职</t>
        </is>
      </c>
      <c r="K40" s="552" t="inlineStr">
        <is>
          <t>2024/10/3转正工资
试用期时间6个月</t>
        </is>
      </c>
      <c r="L40" s="553" t="n">
        <v>45474</v>
      </c>
      <c r="M40" s="549" t="inlineStr">
        <is>
          <t>深圳</t>
        </is>
      </c>
      <c r="N40" s="549" t="inlineStr">
        <is>
          <t>深圳</t>
        </is>
      </c>
      <c r="O40" s="554" t="n">
        <v>9600</v>
      </c>
      <c r="P40" s="554" t="n">
        <v>12000</v>
      </c>
      <c r="Q40" s="532" t="n">
        <v>0</v>
      </c>
      <c r="R40" s="532" t="n">
        <v>0</v>
      </c>
      <c r="S40" s="532" t="n">
        <v>0</v>
      </c>
      <c r="T40" s="550" t="inlineStr">
        <is>
          <t>第一次合同：3年：
2024/7/4-2027/7/3</t>
        </is>
      </c>
      <c r="U40" s="550" t="inlineStr">
        <is>
          <t>试用期6个月
第3个月转正薪资</t>
        </is>
      </c>
      <c r="V40" s="549" t="inlineStr">
        <is>
          <t>人力资源管理</t>
        </is>
      </c>
      <c r="W40" s="551" t="n">
        <v>43617</v>
      </c>
      <c r="X40" s="549" t="inlineStr">
        <is>
          <t>本科</t>
        </is>
      </c>
      <c r="Y40" s="557" t="inlineStr">
        <is>
          <t>794375239@qq.com</t>
        </is>
      </c>
      <c r="Z40" s="549" t="inlineStr">
        <is>
          <t>长沙市芙蓉区远大二路483号</t>
        </is>
      </c>
      <c r="AA40" s="549" t="inlineStr">
        <is>
          <t>深圳市南山区创智云城A7栋506室</t>
        </is>
      </c>
      <c r="AB40" s="197" t="n">
        <v>18823804356</v>
      </c>
      <c r="AC40" s="556" t="inlineStr">
        <is>
          <t>612301199701010025</t>
        </is>
      </c>
      <c r="AD40" s="549" t="inlineStr">
        <is>
          <t>6217 0072 0012 0924 025</t>
        </is>
      </c>
      <c r="AE40" s="549" t="inlineStr">
        <is>
          <t>中国建设银行</t>
        </is>
      </c>
      <c r="AF40" s="549" t="n"/>
      <c r="AG40" s="549" t="inlineStr">
        <is>
          <t>否</t>
        </is>
      </c>
      <c r="AH40" s="552" t="inlineStr">
        <is>
          <t>离职啦</t>
        </is>
      </c>
      <c r="AI40" s="82">
        <f>DATEDIF(--TEXT(MID(AC40,7,8),"0-00-00"),TODAY(),"y")</f>
        <v/>
      </c>
      <c r="AJ40" s="548">
        <f>TEXT(MID(AC40,7,8),"0000-00-00")</f>
        <v/>
      </c>
      <c r="AK40" s="95">
        <f>CHOOSE(MONTH(AJ40),1,1,1,2,2,2,3,3,3,4,4,4)</f>
        <v/>
      </c>
    </row>
    <row r="41" customFormat="1" s="549">
      <c r="A41" s="197" t="n">
        <v>41</v>
      </c>
      <c r="B41" s="550" t="inlineStr">
        <is>
          <t>勾渝靖
（2024年8月23日已离职）</t>
        </is>
      </c>
      <c r="C41" s="550" t="inlineStr">
        <is>
          <t>/</t>
        </is>
      </c>
      <c r="D41" s="549" t="inlineStr">
        <is>
          <t>男</t>
        </is>
      </c>
      <c r="E41" s="549" t="n">
        <v>18000</v>
      </c>
      <c r="F41" s="550" t="inlineStr">
        <is>
          <t xml:space="preserve">短期1.5个月支撑
工资18000没有试用期
合同期限是1个半月 </t>
        </is>
      </c>
      <c r="G41" s="550" t="inlineStr">
        <is>
          <t>材料齐全 
已回寄员工
完美</t>
        </is>
      </c>
      <c r="H41" s="549" t="inlineStr">
        <is>
          <t>前端开发</t>
        </is>
      </c>
      <c r="I41" s="551" t="n">
        <v>45477</v>
      </c>
      <c r="J41" s="552" t="inlineStr">
        <is>
          <t>2024年8月23日lastday
短期到期自然释放</t>
        </is>
      </c>
      <c r="K41" s="552" t="inlineStr">
        <is>
          <t>2024/8/19
短期一个半月支撑</t>
        </is>
      </c>
      <c r="L41" s="553" t="n">
        <v>45474</v>
      </c>
      <c r="M41" s="549" t="inlineStr">
        <is>
          <t>北京</t>
        </is>
      </c>
      <c r="N41" s="549" t="inlineStr">
        <is>
          <t>需要</t>
        </is>
      </c>
      <c r="O41" s="554" t="n">
        <v>18000</v>
      </c>
      <c r="P41" s="554" t="n">
        <v>18000</v>
      </c>
      <c r="Q41" s="532" t="n">
        <v>0</v>
      </c>
      <c r="R41" s="532" t="n">
        <v>0</v>
      </c>
      <c r="S41" s="532" t="n">
        <v>0</v>
      </c>
      <c r="T41" s="550" t="inlineStr">
        <is>
          <t>第一次合同：2个半月
2024/7/4-2024/8/19</t>
        </is>
      </c>
      <c r="U41" s="549" t="inlineStr">
        <is>
          <t>短期 无试用期</t>
        </is>
      </c>
      <c r="V41" s="549" t="inlineStr">
        <is>
          <t>电子信息工程技术</t>
        </is>
      </c>
      <c r="W41" s="551" t="n">
        <v>42614</v>
      </c>
      <c r="X41" s="549" t="inlineStr">
        <is>
          <t>专科</t>
        </is>
      </c>
      <c r="Y41" s="557" t="inlineStr">
        <is>
          <t>ekin_gou@163.com</t>
        </is>
      </c>
      <c r="Z41" s="549" t="inlineStr">
        <is>
          <t>重庆市酉阳县天馆乡杉坪村5组8号</t>
        </is>
      </c>
      <c r="AA41" s="549" t="inlineStr">
        <is>
          <t>北京市昌平区北七家镇白庙村西街115号；</t>
        </is>
      </c>
      <c r="AB41" s="197" t="n">
        <v>15730801803</v>
      </c>
      <c r="AC41" s="556" t="inlineStr">
        <is>
          <t>500242199901206756</t>
        </is>
      </c>
      <c r="AD41" s="556" t="inlineStr">
        <is>
          <t>6217000010197219507</t>
        </is>
      </c>
      <c r="AE41" s="549" t="inlineStr">
        <is>
          <t>中国建设银行</t>
        </is>
      </c>
      <c r="AF41" s="549" t="n"/>
      <c r="AG41" s="549" t="inlineStr">
        <is>
          <t>否</t>
        </is>
      </c>
      <c r="AH41" s="552" t="inlineStr">
        <is>
          <t>离职啦</t>
        </is>
      </c>
      <c r="AI41" s="82">
        <f>DATEDIF(--TEXT(MID(AC41,7,8),"0-00-00"),TODAY(),"y")</f>
        <v/>
      </c>
      <c r="AJ41" s="548">
        <f>TEXT(MID(AC41,7,8),"0000-00-00")</f>
        <v/>
      </c>
      <c r="AK41" s="95">
        <f>CHOOSE(MONTH(AJ41),1,1,1,2,2,2,3,3,3,4,4,4)</f>
        <v/>
      </c>
    </row>
    <row r="42" customFormat="1" s="549">
      <c r="A42" s="197" t="n">
        <v>26</v>
      </c>
      <c r="B42" s="550" t="inlineStr">
        <is>
          <t>权怀振 
lastday2025年11月20日</t>
        </is>
      </c>
      <c r="C42" s="550" t="inlineStr">
        <is>
          <t>今才</t>
        </is>
      </c>
      <c r="D42" s="549" t="inlineStr">
        <is>
          <t>男</t>
        </is>
      </c>
      <c r="E42" s="549" t="n">
        <v>36000</v>
      </c>
      <c r="F42" s="550" t="inlineStr">
        <is>
          <t>工资28.8/36k，试用期8折
无其他补贴 无其他费用</t>
        </is>
      </c>
      <c r="G42" s="550" t="inlineStr">
        <is>
          <t>材料齐全 
已回寄员工
完美</t>
        </is>
      </c>
      <c r="H42" s="549" t="inlineStr">
        <is>
          <t>自动驾驶芯片Linux软件开发</t>
        </is>
      </c>
      <c r="I42" s="551" t="n">
        <v>45488</v>
      </c>
      <c r="J42" s="552" t="inlineStr">
        <is>
          <t xml:space="preserve">2025/11/20
除了11.20没上班，其他都是正常出勤的哈，无调休，无报销~
</t>
        </is>
      </c>
      <c r="K42" s="552" t="inlineStr">
        <is>
          <t>2024/10/14转正工资
试用期时间6个月</t>
        </is>
      </c>
      <c r="L42" s="553" t="n">
        <v>45474</v>
      </c>
      <c r="M42" s="549" t="inlineStr">
        <is>
          <t>重庆</t>
        </is>
      </c>
      <c r="N42" s="549" t="inlineStr">
        <is>
          <t>重庆</t>
        </is>
      </c>
      <c r="O42" s="554" t="n">
        <v>28800</v>
      </c>
      <c r="P42" s="554" t="n">
        <v>36000</v>
      </c>
      <c r="Q42" s="532" t="n">
        <v>0</v>
      </c>
      <c r="R42" s="532" t="n">
        <v>0</v>
      </c>
      <c r="S42" s="532" t="n">
        <v>0</v>
      </c>
      <c r="T42" s="550" t="inlineStr">
        <is>
          <t>第一次合同：3年：
2024/7/15-2027/7/14</t>
        </is>
      </c>
      <c r="U42" s="549" t="inlineStr">
        <is>
          <t>试用期6个月
第3个月转正薪资</t>
        </is>
      </c>
      <c r="V42" s="549" t="inlineStr">
        <is>
          <t>网络工程</t>
        </is>
      </c>
      <c r="W42" s="551" t="n">
        <v>41091</v>
      </c>
      <c r="X42" s="549" t="inlineStr">
        <is>
          <t>本科</t>
        </is>
      </c>
      <c r="Y42" s="557" t="inlineStr">
        <is>
          <t>378236615@qq.com</t>
        </is>
      </c>
      <c r="Z42" s="549" t="inlineStr">
        <is>
          <t>安徽省宿州市萧县石林乡万庄行政村万庄自然村111</t>
        </is>
      </c>
      <c r="AA42" s="549" t="inlineStr">
        <is>
          <t>重庆市鱼嘴镇和韵家园南区12栋9-6</t>
        </is>
      </c>
      <c r="AB42" s="197" t="n">
        <v>13625716442</v>
      </c>
      <c r="AC42" s="556" t="inlineStr">
        <is>
          <t>34222219880223581X</t>
        </is>
      </c>
      <c r="AD42" s="556" t="inlineStr">
        <is>
          <t>6214673800044043214</t>
        </is>
      </c>
      <c r="AE42" s="549" t="inlineStr">
        <is>
          <t>中国建设银行</t>
        </is>
      </c>
      <c r="AF42" s="549" t="n"/>
      <c r="AG42" s="549" t="inlineStr">
        <is>
          <t>否</t>
        </is>
      </c>
      <c r="AH42" s="552" t="inlineStr">
        <is>
          <t>第一次合同：3年：2024/7/15-2027/7/14</t>
        </is>
      </c>
      <c r="AI42" s="82">
        <f>DATEDIF(--TEXT(MID(AC42,7,8),"0-00-00"),TODAY(),"y")</f>
        <v/>
      </c>
      <c r="AJ42" s="548">
        <f>TEXT(MID(AC42,7,8),"0000-00-00")</f>
        <v/>
      </c>
      <c r="AK42" s="95">
        <f>CHOOSE(MONTH(AJ42),1,1,1,2,2,2,3,3,3,4,4,4)</f>
        <v/>
      </c>
    </row>
    <row r="43" customFormat="1" s="549">
      <c r="A43" s="197" t="n">
        <v>43</v>
      </c>
      <c r="B43" s="550" t="inlineStr">
        <is>
          <t>李洋洋
（2024年8月23日已离职）</t>
        </is>
      </c>
      <c r="C43" s="550" t="inlineStr">
        <is>
          <t>/</t>
        </is>
      </c>
      <c r="D43" s="549" t="inlineStr">
        <is>
          <t>男</t>
        </is>
      </c>
      <c r="E43" s="549" t="n">
        <v>10000</v>
      </c>
      <c r="F43" s="550" t="inlineStr">
        <is>
          <t xml:space="preserve">工资10k 无试用期
无其他补贴 无其他费用
短期支撑，2-3周结束
一周支付一次工资
（周三入职）
</t>
        </is>
      </c>
      <c r="G43" s="550" t="inlineStr">
        <is>
          <t>材料齐全 
已回寄员工
完美</t>
        </is>
      </c>
      <c r="H43" s="549" t="inlineStr">
        <is>
          <t>前端开发工程师</t>
        </is>
      </c>
      <c r="I43" s="551" t="n">
        <v>45490</v>
      </c>
      <c r="J43" s="552" t="inlineStr">
        <is>
          <t>（2024年8月23日lastday）</t>
        </is>
      </c>
      <c r="K43" s="552" t="inlineStr">
        <is>
          <t>2024/8/23释放</t>
        </is>
      </c>
      <c r="L43" s="561" t="n">
        <v>45505</v>
      </c>
      <c r="M43" s="549" t="inlineStr">
        <is>
          <t>南京</t>
        </is>
      </c>
      <c r="N43" s="550" t="inlineStr">
        <is>
          <t>8月缴纳五险一金
南京五险一金</t>
        </is>
      </c>
      <c r="O43" s="554" t="n">
        <v>10000</v>
      </c>
      <c r="P43" s="554" t="n">
        <v>10000</v>
      </c>
      <c r="Q43" s="532" t="n">
        <v>0</v>
      </c>
      <c r="R43" s="532" t="n">
        <v>0</v>
      </c>
      <c r="S43" s="532" t="n">
        <v>0</v>
      </c>
      <c r="T43" s="550" t="inlineStr">
        <is>
          <t xml:space="preserve">第一次合同：短期
2024/7/17-2024/8/23
</t>
        </is>
      </c>
      <c r="U43" s="549" t="inlineStr">
        <is>
          <t>短期 无试用期</t>
        </is>
      </c>
      <c r="V43" s="549" t="inlineStr">
        <is>
          <t>物联网应用技术</t>
        </is>
      </c>
      <c r="W43" s="551" t="n">
        <v>43983</v>
      </c>
      <c r="X43" s="549" t="inlineStr">
        <is>
          <t>专科</t>
        </is>
      </c>
      <c r="Y43" s="557" t="inlineStr">
        <is>
          <t xml:space="preserve">1732052404@qq.com </t>
        </is>
      </c>
      <c r="Z43" s="549" t="inlineStr">
        <is>
          <t>山西省长治市潞城市老西街后巷5号</t>
        </is>
      </c>
      <c r="AA43" s="549" t="inlineStr">
        <is>
          <t>江苏省南京市天润城十四街区21栋1102</t>
        </is>
      </c>
      <c r="AB43" s="197" t="n">
        <v>15035560114</v>
      </c>
      <c r="AC43" s="556" t="inlineStr">
        <is>
          <t>140481199901142834</t>
        </is>
      </c>
      <c r="AD43" s="556" t="inlineStr">
        <is>
          <t>6236691330000157486</t>
        </is>
      </c>
      <c r="AE43" s="550" t="inlineStr">
        <is>
          <t>中国建设银行
李洋洋
（7月26日已转7月17-7月24日的6天工资为10000/23*6=2608.7元）
（8月2日已转7月25-7月31日的5天工资为10000/23*5=2173.91元）
（8月8日已转8月1日8月2日8月5日6日的4天工资为10000/22*4=1818.18元）
（8月15日已转8月7日8日9日的3天工资为10000/22*3-595.87（8月五险一金个人部分）=767.76元）
（8月22日已转8月12日13日14日15日16日的5天工资为10000/22*5=2272.73元）
8月23日已转：8月19日20日21日22日23日的5天工资：10000/22*5-57.42（个税）=2215.3元
李洋洋8月23日离职工资已结清</t>
        </is>
      </c>
      <c r="AF43" s="549" t="n"/>
      <c r="AG43" s="549" t="inlineStr">
        <is>
          <t>否</t>
        </is>
      </c>
      <c r="AH43" s="552" t="inlineStr">
        <is>
          <t>离职啦</t>
        </is>
      </c>
      <c r="AI43" s="82">
        <f>DATEDIF(--TEXT(MID(AC43,7,8),"0-00-00"),TODAY(),"y")</f>
        <v/>
      </c>
      <c r="AJ43" s="548">
        <f>TEXT(MID(AC43,7,8),"0000-00-00")</f>
        <v/>
      </c>
      <c r="AK43" s="95">
        <f>CHOOSE(MONTH(AJ43),1,1,1,2,2,2,3,3,3,4,4,4)</f>
        <v/>
      </c>
    </row>
    <row r="44" customFormat="1" s="549">
      <c r="A44" s="197" t="n">
        <v>44</v>
      </c>
      <c r="B44" s="550" t="inlineStr">
        <is>
          <t>杨天明
（2024年9月8日已离职）</t>
        </is>
      </c>
      <c r="C44" s="550" t="inlineStr">
        <is>
          <t>/</t>
        </is>
      </c>
      <c r="D44" s="549" t="inlineStr">
        <is>
          <t>男</t>
        </is>
      </c>
      <c r="E44" s="549" t="n">
        <v>18000</v>
      </c>
      <c r="F44" s="550" t="inlineStr">
        <is>
          <t>工资18k   无试用期
无其他补贴 无其他费用
短期支撑，1.5月后结束
结束后赔偿3000块钱，实际没赔，因为员工主动找了别的工作，未签署证明
一周支付一次工资
（周一入职）
2024年9月14日员工主动离职</t>
        </is>
      </c>
      <c r="G44" s="550" t="inlineStr">
        <is>
          <t>材料齐全 
已回寄员工
完美</t>
        </is>
      </c>
      <c r="H44" s="549" t="inlineStr">
        <is>
          <t>集成开发工程师</t>
        </is>
      </c>
      <c r="I44" s="551" t="n">
        <v>45495</v>
      </c>
      <c r="J44" s="552" t="inlineStr">
        <is>
          <t>2024年9月14日员工主动离职</t>
        </is>
      </c>
      <c r="K44" s="552" t="inlineStr">
        <is>
          <t>2024/9/8释放
短期一个半月支撑</t>
        </is>
      </c>
      <c r="L44" s="561" t="n">
        <v>45505</v>
      </c>
      <c r="M44" s="549" t="inlineStr">
        <is>
          <t>南京</t>
        </is>
      </c>
      <c r="N44" s="549" t="inlineStr">
        <is>
          <t>南京</t>
        </is>
      </c>
      <c r="O44" s="554" t="n">
        <v>18000</v>
      </c>
      <c r="P44" s="554" t="n">
        <v>18000</v>
      </c>
      <c r="Q44" s="532" t="n">
        <v>0</v>
      </c>
      <c r="R44" s="532" t="n">
        <v>0</v>
      </c>
      <c r="S44" s="532" t="n">
        <v>0</v>
      </c>
      <c r="T44" s="550" t="inlineStr">
        <is>
          <t>第一次合同：短期
2024/7/22-2024/9/8</t>
        </is>
      </c>
      <c r="U44" s="549" t="inlineStr">
        <is>
          <t>短期 无试用期</t>
        </is>
      </c>
      <c r="V44" s="549" t="inlineStr">
        <is>
          <t>电气工程及其自动化</t>
        </is>
      </c>
      <c r="W44" s="551" t="n">
        <v>43282</v>
      </c>
      <c r="X44" s="549" t="inlineStr">
        <is>
          <t>本科</t>
        </is>
      </c>
      <c r="Y44" s="557" t="inlineStr">
        <is>
          <t>781903821@qq.com</t>
        </is>
      </c>
      <c r="Z44" s="550" t="inlineStr">
        <is>
          <t>安徽省滁州市南谯区南谯
南路银花西区24幢306室</t>
        </is>
      </c>
      <c r="AA44" s="550" t="inlineStr">
        <is>
          <t>杨天明，15385019831
南京市栖霞区兴智路兴智科技园A栋19楼</t>
        </is>
      </c>
      <c r="AB44" s="197" t="n">
        <v>15385019831</v>
      </c>
      <c r="AC44" s="556" t="inlineStr">
        <is>
          <t>341124199610034811</t>
        </is>
      </c>
      <c r="AD44" s="556" t="inlineStr">
        <is>
          <t>6217001720005850678</t>
        </is>
      </c>
      <c r="AE44" s="550" t="inlineStr">
        <is>
          <t>中国建设银行
杨天明
【7月31日已转7月22-7月29日的6天工资为18000/23*6=4695.65元】
【8月8日已转7月30-8月2日的4天工资为（18000/23*2+18000/22*2）-595.87（8月五险一金个人部分）-19.95（个税）=2585.76元】
（8月15日已转8月5日6日7日8日9日的5天工资为18000/22*5=4090.91元）
（8月22日已转8月12日13日14日15日16日的5天工资为18000/22*5=4090.91元）
8月30日已转8月19日20日21日22日23日的5天工资
18000/22*5=4090.91元
9月5日已发8月26日27日28日29日30日的5天工资
18000/22*5-372.12=3719.19
9月20已发发：9月2日3日4日5日6日9日10日11日12日13日14日工资=18000/21.75*11-105.23=8998.22 
此人完结</t>
        </is>
      </c>
      <c r="AF44" s="549">
        <f>18000/21.75*11-105.23</f>
        <v/>
      </c>
      <c r="AG44" s="549" t="inlineStr">
        <is>
          <t>否</t>
        </is>
      </c>
      <c r="AH44" s="552" t="inlineStr">
        <is>
          <t>离职啦</t>
        </is>
      </c>
      <c r="AI44" s="82">
        <f>DATEDIF(--TEXT(MID(AC44,7,8),"0-00-00"),TODAY(),"y")</f>
        <v/>
      </c>
      <c r="AJ44" s="548">
        <f>TEXT(MID(AC44,7,8),"0000-00-00")</f>
        <v/>
      </c>
      <c r="AK44" s="95">
        <f>CHOOSE(MONTH(AJ44),1,1,1,2,2,2,3,3,3,4,4,4)</f>
        <v/>
      </c>
    </row>
    <row r="45" customFormat="1" s="549">
      <c r="A45" s="197" t="n">
        <v>45</v>
      </c>
      <c r="B45" s="550" t="inlineStr">
        <is>
          <t>马蒙恩
（2024/7/24已离职）</t>
        </is>
      </c>
      <c r="C45" s="550" t="inlineStr">
        <is>
          <t>/</t>
        </is>
      </c>
      <c r="D45" s="549" t="inlineStr">
        <is>
          <t>男</t>
        </is>
      </c>
      <c r="E45" s="550" t="inlineStr">
        <is>
          <t>800/天
按照每月出勤天数算</t>
        </is>
      </c>
      <c r="F45" s="550" t="inlineStr">
        <is>
          <t>短期2024年7月22日-9月21日在文石，属于文石的人
工资每天800元   无试用期
无其他补贴 无其他费用
2个月支撑，每月5号发工资
（2024/7/24已短期正常释放离职）</t>
        </is>
      </c>
      <c r="G45" s="550" t="inlineStr">
        <is>
          <t>材料HR已邮寄
未回寄我 因为离职 莉萍还没找员工要？还要不要？
2024/7/24已经离职
工资 账单均发到了7月24日</t>
        </is>
      </c>
      <c r="H45" s="549" t="inlineStr">
        <is>
          <t>自动驾驶集成测试工程师</t>
        </is>
      </c>
      <c r="I45" s="551" t="n">
        <v>45495</v>
      </c>
      <c r="J45" s="552" t="inlineStr">
        <is>
          <t>（2024/7/24已短期正常释放离职）</t>
        </is>
      </c>
      <c r="K45" s="552" t="inlineStr">
        <is>
          <t>约定短期二个月支撑
2024/7/24离职</t>
        </is>
      </c>
      <c r="L45" s="553" t="inlineStr">
        <is>
          <t>/</t>
        </is>
      </c>
      <c r="M45" s="549" t="inlineStr">
        <is>
          <t>北京</t>
        </is>
      </c>
      <c r="N45" s="550" t="inlineStr">
        <is>
          <t>/
确定不缴纳五险一金</t>
        </is>
      </c>
      <c r="O45" s="562" t="inlineStr">
        <is>
          <t>800/天
按照每月出勤天数算</t>
        </is>
      </c>
      <c r="P45" s="562" t="inlineStr">
        <is>
          <t>800/天
按照每月出勤天数算</t>
        </is>
      </c>
      <c r="Q45" s="532" t="n">
        <v>0</v>
      </c>
      <c r="R45" s="532" t="n">
        <v>0</v>
      </c>
      <c r="S45" s="532" t="n">
        <v>0</v>
      </c>
      <c r="T45" s="550" t="inlineStr">
        <is>
          <t>未签署
2024/7/22-2024/7/24</t>
        </is>
      </c>
      <c r="U45" s="549" t="inlineStr">
        <is>
          <t>短期 已离职</t>
        </is>
      </c>
      <c r="V45" s="549" t="inlineStr">
        <is>
          <t>国际经济与贸易</t>
        </is>
      </c>
      <c r="W45" s="551" t="n">
        <v>43282</v>
      </c>
      <c r="X45" s="549" t="inlineStr">
        <is>
          <t>专科</t>
        </is>
      </c>
      <c r="Y45" s="549" t="inlineStr">
        <is>
          <t>1596661431@qq.com</t>
        </is>
      </c>
      <c r="Z45" s="549" t="inlineStr">
        <is>
          <t>山东省郯城县高峰头镇中心村184号</t>
        </is>
      </c>
      <c r="AA45" s="550" t="inlineStr">
        <is>
          <t>艺龙海雅酒店
(北京回龙观平西府地铁站店)
 马蒙恩18516061938</t>
        </is>
      </c>
      <c r="AB45" s="197" t="n">
        <v>18516061938</v>
      </c>
      <c r="AC45" s="556" t="inlineStr">
        <is>
          <t>371322199601136115</t>
        </is>
      </c>
      <c r="AD45" s="556" t="inlineStr">
        <is>
          <t>6217002290002129822</t>
        </is>
      </c>
      <c r="AE45" s="549" t="inlineStr">
        <is>
          <t>中国建设银行</t>
        </is>
      </c>
      <c r="AG45" s="549" t="inlineStr">
        <is>
          <t>否</t>
        </is>
      </c>
      <c r="AH45" s="552" t="inlineStr">
        <is>
          <t>离职啦</t>
        </is>
      </c>
      <c r="AI45" s="82">
        <f>DATEDIF(--TEXT(MID(AC45,7,8),"0-00-00"),TODAY(),"y")</f>
        <v/>
      </c>
      <c r="AJ45" s="548">
        <f>TEXT(MID(AC45,7,8),"0000-00-00")</f>
        <v/>
      </c>
      <c r="AK45" s="95">
        <f>CHOOSE(MONTH(AJ45),1,1,1,2,2,2,3,3,3,4,4,4)</f>
        <v/>
      </c>
    </row>
    <row r="46" customFormat="1" s="549">
      <c r="A46" s="197" t="n">
        <v>46</v>
      </c>
      <c r="B46" s="550" t="inlineStr">
        <is>
          <t>蔡斌
（2024年9月13日已离职）</t>
        </is>
      </c>
      <c r="C46" s="550" t="inlineStr">
        <is>
          <t>/</t>
        </is>
      </c>
      <c r="D46" s="549" t="inlineStr">
        <is>
          <t>男</t>
        </is>
      </c>
      <c r="E46" s="550" t="inlineStr">
        <is>
          <t>880/天
按照每月出勤天数算</t>
        </is>
      </c>
      <c r="F46" s="550" t="inlineStr">
        <is>
          <t>短期2024年7月22日-9月21日在文石，属于文石的人
工资每天880元   无试用期
无其他补贴 无其他费用
2个月支撑 每月5号发工资</t>
        </is>
      </c>
      <c r="G46" s="550" t="inlineStr">
        <is>
          <t>兼职协议
材料齐全 
已回寄员工
（长期版本）
-无出差补贴</t>
        </is>
      </c>
      <c r="H46" s="549" t="inlineStr">
        <is>
          <t>自动驾驶集成测试工程师</t>
        </is>
      </c>
      <c r="I46" s="551" t="n">
        <v>45495</v>
      </c>
      <c r="J46" s="552" t="inlineStr">
        <is>
          <t>2024年9月13日  lastday</t>
        </is>
      </c>
      <c r="K46" s="552" t="inlineStr">
        <is>
          <t xml:space="preserve">
短期二个月支撑</t>
        </is>
      </c>
      <c r="L46" s="553" t="inlineStr">
        <is>
          <t>/</t>
        </is>
      </c>
      <c r="M46" s="549" t="inlineStr">
        <is>
          <t>北京</t>
        </is>
      </c>
      <c r="N46" s="550" t="inlineStr">
        <is>
          <t>/
确定不缴纳五险一金</t>
        </is>
      </c>
      <c r="O46" s="562" t="inlineStr">
        <is>
          <t>880/天
按照每月出勤天数算</t>
        </is>
      </c>
      <c r="P46" s="562" t="inlineStr">
        <is>
          <t>880/天
按照每月出勤天数算</t>
        </is>
      </c>
      <c r="Q46" s="532" t="n">
        <v>0</v>
      </c>
      <c r="R46" s="532" t="n">
        <v>0</v>
      </c>
      <c r="S46" s="532" t="n">
        <v>0</v>
      </c>
      <c r="T46" s="550" t="inlineStr">
        <is>
          <t>第一次合同：短期
2024/7/22-2024/9/21
预计2个月左右
第二次合同：到2024/12/31年底，结果要离职</t>
        </is>
      </c>
      <c r="U46" s="549" t="inlineStr">
        <is>
          <t>短期 无试用期</t>
        </is>
      </c>
      <c r="V46" s="549" t="inlineStr">
        <is>
          <t>旅游管理</t>
        </is>
      </c>
      <c r="W46" s="551" t="n">
        <v>42186</v>
      </c>
      <c r="X46" s="549" t="inlineStr">
        <is>
          <t>专科</t>
        </is>
      </c>
      <c r="Y46" s="549" t="inlineStr">
        <is>
          <t>735715470@qq.com</t>
        </is>
      </c>
      <c r="Z46" s="549" t="inlineStr">
        <is>
          <t>河南省息县夏庄镇范老庄村前蔡庄组</t>
        </is>
      </c>
      <c r="AA46" s="550" t="inlineStr">
        <is>
          <t>蔡斌 13661666104
 北京市北京市朝阳区 将台路6号北京丽都维景酒店</t>
        </is>
      </c>
      <c r="AB46" s="197" t="n">
        <v>13661666104</v>
      </c>
      <c r="AC46" s="556" t="inlineStr">
        <is>
          <t>411528199303204150</t>
        </is>
      </c>
      <c r="AD46" s="556" t="inlineStr">
        <is>
          <t>6217000010194672278</t>
        </is>
      </c>
      <c r="AE46" s="549" t="inlineStr">
        <is>
          <t>中国建设银行</t>
        </is>
      </c>
      <c r="AG46" s="549" t="inlineStr">
        <is>
          <t>否</t>
        </is>
      </c>
      <c r="AH46" s="552" t="inlineStr">
        <is>
          <t>离职啦</t>
        </is>
      </c>
      <c r="AI46" s="82">
        <f>DATEDIF(--TEXT(MID(AC46,7,8),"0-00-00"),TODAY(),"y")</f>
        <v/>
      </c>
      <c r="AJ46" s="548">
        <f>TEXT(MID(AC46,7,8),"0000-00-00")</f>
        <v/>
      </c>
      <c r="AK46" s="95">
        <f>CHOOSE(MONTH(AJ46),1,1,1,2,2,2,3,3,3,4,4,4)</f>
        <v/>
      </c>
    </row>
    <row r="47" customFormat="1" s="549">
      <c r="A47" s="197" t="n">
        <v>39</v>
      </c>
      <c r="B47" s="559" t="inlineStr">
        <is>
          <t>项坤（忽视）</t>
        </is>
      </c>
      <c r="C47" s="559" t="inlineStr">
        <is>
          <t>/</t>
        </is>
      </c>
      <c r="D47" s="549" t="inlineStr">
        <is>
          <t>男</t>
        </is>
      </c>
      <c r="E47" s="549" t="n">
        <v>800</v>
      </c>
      <c r="F47" s="550" t="inlineStr">
        <is>
          <t>短期支撑
工资800一天
周六周日上班双倍工资
（兼职版本，7月14日结束）-不用管这个版本</t>
        </is>
      </c>
      <c r="G47" s="550" t="inlineStr">
        <is>
          <t>无需邮寄合同，短期支撑
20240607-20241230已签署电子签劳务合同完美</t>
        </is>
      </c>
      <c r="H47" s="549" t="inlineStr">
        <is>
          <t>实车测试</t>
        </is>
      </c>
      <c r="I47" s="551" t="n">
        <v>45450</v>
      </c>
      <c r="J47" s="552" t="inlineStr">
        <is>
          <t>/</t>
        </is>
      </c>
      <c r="K47" s="552" t="inlineStr">
        <is>
          <t>/</t>
        </is>
      </c>
      <c r="L47" s="553" t="inlineStr">
        <is>
          <t>/</t>
        </is>
      </c>
      <c r="M47" s="549" t="inlineStr">
        <is>
          <t>芜湖</t>
        </is>
      </c>
      <c r="N47" s="549" t="inlineStr">
        <is>
          <t>不需要</t>
        </is>
      </c>
      <c r="O47" s="554" t="n">
        <v>800</v>
      </c>
      <c r="P47" s="554" t="n">
        <v>800</v>
      </c>
      <c r="Q47" s="532" t="n">
        <v>0</v>
      </c>
      <c r="R47" s="532" t="n">
        <v>0</v>
      </c>
      <c r="S47" s="532" t="n">
        <v>0</v>
      </c>
      <c r="T47" s="549" t="inlineStr">
        <is>
          <t>/</t>
        </is>
      </c>
      <c r="U47" s="549" t="inlineStr">
        <is>
          <t>/</t>
        </is>
      </c>
      <c r="V47" s="549" t="inlineStr">
        <is>
          <t>/</t>
        </is>
      </c>
      <c r="W47" s="551" t="inlineStr">
        <is>
          <t>/</t>
        </is>
      </c>
      <c r="X47" s="549" t="inlineStr">
        <is>
          <t>/</t>
        </is>
      </c>
      <c r="Y47" s="549" t="inlineStr">
        <is>
          <t>/</t>
        </is>
      </c>
      <c r="Z47" s="549" t="inlineStr">
        <is>
          <t>/</t>
        </is>
      </c>
      <c r="AA47" s="549" t="inlineStr">
        <is>
          <t>/</t>
        </is>
      </c>
      <c r="AB47" s="197" t="n">
        <v>15201970606</v>
      </c>
      <c r="AC47" s="556" t="inlineStr">
        <is>
          <t>421181199308059118</t>
        </is>
      </c>
      <c r="AD47" s="556" t="inlineStr">
        <is>
          <t>6214830028064847</t>
        </is>
      </c>
      <c r="AE47" s="549" t="inlineStr">
        <is>
          <t>招商银行上海南汇支行</t>
        </is>
      </c>
      <c r="AF47" s="549" t="n"/>
      <c r="AG47" s="549" t="inlineStr">
        <is>
          <t>否</t>
        </is>
      </c>
      <c r="AH47" s="552" t="inlineStr">
        <is>
          <t>兼职忽略</t>
        </is>
      </c>
      <c r="AI47" s="82">
        <f>DATEDIF(--TEXT(MID(AC47,7,8),"0-00-00"),TODAY(),"y")</f>
        <v/>
      </c>
      <c r="AJ47" s="548">
        <f>TEXT(MID(AC47,7,8),"0000-00-00")</f>
        <v/>
      </c>
      <c r="AK47" s="95">
        <f>CHOOSE(MONTH(AJ47),1,1,1,2,2,2,3,3,3,4,4,4)</f>
        <v/>
      </c>
    </row>
    <row r="48" customFormat="1" s="549">
      <c r="A48" s="197" t="n">
        <v>23</v>
      </c>
      <c r="B48" s="550" t="inlineStr">
        <is>
          <t>项坤（忽视）</t>
        </is>
      </c>
      <c r="C48" s="550" t="inlineStr">
        <is>
          <t>/</t>
        </is>
      </c>
      <c r="D48" s="549" t="inlineStr">
        <is>
          <t>男</t>
        </is>
      </c>
      <c r="E48" s="549" t="inlineStr">
        <is>
          <t>850/天
按照每月出勤天数算</t>
        </is>
      </c>
      <c r="F48" s="550" t="inlineStr">
        <is>
          <t xml:space="preserve">签1年合同
工资每天850元   缴纳五险一金
</t>
        </is>
      </c>
      <c r="G48" s="550" t="inlineStr">
        <is>
          <t>材料齐全 
已回寄员工
员工要求缴纳上海五险一金
（签文石长期合同版本）
最新合同版本
2024/12/31-2025/12/30</t>
        </is>
      </c>
      <c r="H48" s="549" t="inlineStr">
        <is>
          <t>自动驾驶集成测试工程师</t>
        </is>
      </c>
      <c r="I48" s="551" t="n">
        <v>45495</v>
      </c>
      <c r="J48" s="552" t="inlineStr">
        <is>
          <t>/</t>
        </is>
      </c>
      <c r="K48" s="552" t="inlineStr">
        <is>
          <t xml:space="preserve">
已转正</t>
        </is>
      </c>
      <c r="L48" s="553" t="inlineStr">
        <is>
          <t>/</t>
        </is>
      </c>
      <c r="M48" s="549" t="inlineStr">
        <is>
          <t>北京</t>
        </is>
      </c>
      <c r="N48" s="550" t="inlineStr">
        <is>
          <t>/
确定不缴纳五险一金
缴纳上海</t>
        </is>
      </c>
      <c r="O48" s="554" t="inlineStr">
        <is>
          <t>850/天
按照每月出勤天数算</t>
        </is>
      </c>
      <c r="P48" s="554" t="inlineStr">
        <is>
          <t>850/天
按照每月出勤天数算</t>
        </is>
      </c>
      <c r="Q48" s="532" t="n">
        <v>0</v>
      </c>
      <c r="R48" s="532" t="n">
        <v>0</v>
      </c>
      <c r="S48" s="532" t="n">
        <v>0</v>
      </c>
      <c r="T48" s="550" t="inlineStr">
        <is>
          <t>第一次合同：电子签的劳务合同2024/6/7-2024/12/30
第二次合同：电子签的劳动合同：1年2024/12/30-2025/12/30</t>
        </is>
      </c>
      <c r="U48" s="550" t="inlineStr">
        <is>
          <t>无试用期</t>
        </is>
      </c>
      <c r="V48" s="549" t="inlineStr">
        <is>
          <t>旅游管理</t>
        </is>
      </c>
      <c r="W48" s="551" t="n">
        <v>42186</v>
      </c>
      <c r="X48" s="549" t="inlineStr">
        <is>
          <t>专科</t>
        </is>
      </c>
      <c r="Y48" s="557" t="inlineStr">
        <is>
          <t>1126460411@qq.com</t>
        </is>
      </c>
      <c r="Z48" s="549" t="inlineStr">
        <is>
          <t>湖北省麻城市张家畈镇黄柏山村项坳19号</t>
        </is>
      </c>
      <c r="AA48" s="550" t="inlineStr">
        <is>
          <t xml:space="preserve"> 项KK, 手机号码: 15201970606, 所在地区: 上海市上海市静安区天目西路街道, 详细地址: 天目西路111号上海静安漫心酒店1020房间</t>
        </is>
      </c>
      <c r="AB48" s="197" t="n">
        <v>15201970606</v>
      </c>
      <c r="AC48" s="556" t="inlineStr">
        <is>
          <t>421181199308059118</t>
        </is>
      </c>
      <c r="AD48" s="556" t="inlineStr">
        <is>
          <t>6217000010194672286</t>
        </is>
      </c>
      <c r="AE48" s="549" t="inlineStr">
        <is>
          <t>中国建设银行</t>
        </is>
      </c>
      <c r="AF48" s="549" t="n"/>
      <c r="AG48" s="549" t="inlineStr">
        <is>
          <t>是</t>
        </is>
      </c>
      <c r="AH48" s="552" t="inlineStr">
        <is>
          <t>第一次合同：电子签劳务合同:年底：2024/6/7-2024/12/30
第二次合同：电子签劳动合同:1年2024/12/30-2025/12/30
第三次合同：上海文石电子签劳动合同:3年：2025.12.31-2028.12.30</t>
        </is>
      </c>
      <c r="AI48" s="82">
        <f>DATEDIF(--TEXT(MID(AC48,7,8),"0-00-00"),TODAY(),"y")</f>
        <v/>
      </c>
      <c r="AJ48" s="548">
        <f>TEXT(MID(AC48,7,8),"0000-00-00")</f>
        <v/>
      </c>
      <c r="AK48" s="95">
        <f>CHOOSE(MONTH(AJ48),1,1,1,2,2,2,3,3,3,4,4,4)</f>
        <v/>
      </c>
    </row>
    <row r="49" ht="115" customFormat="1" customHeight="1" s="532">
      <c r="A49" s="82" t="n">
        <v>23</v>
      </c>
      <c r="B49" s="541" t="inlineStr">
        <is>
          <t xml:space="preserve">项坤
（长期版本）-有出差补贴-以此为准
2026.6.2上海文石转账了8k出差备用金未还
</t>
        </is>
      </c>
      <c r="C49" s="541" t="inlineStr">
        <is>
          <t>上海文石</t>
        </is>
      </c>
      <c r="D49" s="532" t="inlineStr">
        <is>
          <t>男</t>
        </is>
      </c>
      <c r="E49" s="541" t="inlineStr">
        <is>
          <t>850/天
按照每月出勤天数算</t>
        </is>
      </c>
      <c r="F49" s="541" t="inlineStr">
        <is>
          <t>工资每天850元   无试用期
无其他补贴 无其他费用
基本工资 300 元/天，绩效工资 200 元/天，外派津贴 150 元/天，社保补贴
150 元/天，公积金补贴 50 元/天，合计 850 元/天。</t>
        </is>
      </c>
      <c r="G49" s="541" t="inlineStr">
        <is>
          <t>材料齐全 
已回寄员工</t>
        </is>
      </c>
      <c r="H49" s="532" t="inlineStr">
        <is>
          <t>自动驾驶集成测试工程师</t>
        </is>
      </c>
      <c r="I49" s="533" t="n">
        <v>45495</v>
      </c>
      <c r="J49" s="547" t="inlineStr">
        <is>
          <t>/</t>
        </is>
      </c>
      <c r="K49" s="552" t="inlineStr">
        <is>
          <t xml:space="preserve">
已转正</t>
        </is>
      </c>
      <c r="L49" s="534" t="inlineStr">
        <is>
          <t>/</t>
        </is>
      </c>
      <c r="M49" s="532" t="inlineStr">
        <is>
          <t>北京</t>
        </is>
      </c>
      <c r="N49" s="541" t="inlineStr">
        <is>
          <t>上海</t>
        </is>
      </c>
      <c r="O49" s="541" t="inlineStr">
        <is>
          <t>850/天
按照每月出勤天数算</t>
        </is>
      </c>
      <c r="P49" s="541" t="inlineStr">
        <is>
          <t>850/天
按照每月出勤天数算</t>
        </is>
      </c>
      <c r="Q49" s="532" t="n">
        <v>0</v>
      </c>
      <c r="R49" s="532" t="n">
        <v>0</v>
      </c>
      <c r="S49" s="532" t="n">
        <v>0</v>
      </c>
      <c r="T49" s="541" t="inlineStr">
        <is>
          <t>第一次劳务合同：20240607-20241230
第二次劳动合同：2025/1/1-2025/12/30
第三次劳动合同：上海文石-2025/12/31-2028/12/30</t>
        </is>
      </c>
      <c r="U49" s="532" t="inlineStr">
        <is>
          <t>短期 无试用期</t>
        </is>
      </c>
      <c r="V49" s="532" t="inlineStr">
        <is>
          <t>旅游管理</t>
        </is>
      </c>
      <c r="W49" s="533" t="n">
        <v>42186</v>
      </c>
      <c r="X49" s="532" t="inlineStr">
        <is>
          <t>专科</t>
        </is>
      </c>
      <c r="Y49" s="555" t="inlineStr">
        <is>
          <t>1126460411@qq.com</t>
        </is>
      </c>
      <c r="Z49" s="532" t="inlineStr">
        <is>
          <t>湖北省麻城市张家畈镇黄柏山村项坳19号</t>
        </is>
      </c>
      <c r="AA49" s="541" t="inlineStr">
        <is>
          <t>项坤 15201970606 北京市北京市朝阳区 将台路6号丽都广场F1北京丽都维景酒店前台</t>
        </is>
      </c>
      <c r="AB49" s="82" t="n">
        <v>15201970606</v>
      </c>
      <c r="AC49" s="546" t="inlineStr">
        <is>
          <t>421181199308059118</t>
        </is>
      </c>
      <c r="AD49" s="546" t="inlineStr">
        <is>
          <t>6217000010194672286</t>
        </is>
      </c>
      <c r="AE49" s="14" t="inlineStr">
        <is>
          <t>中国建设银行股份有限公司北京花家地支行</t>
        </is>
      </c>
      <c r="AG49" s="532" t="inlineStr">
        <is>
          <t>是</t>
        </is>
      </c>
      <c r="AH49" s="547" t="inlineStr">
        <is>
          <t>第一次劳务合同：南京文石-20240607-20241230
第二次劳动合同：南京文石-2025/1/1-2025/12/30
第三次劳动合同：上海文石-2025/12/31-2028/12/30</t>
        </is>
      </c>
      <c r="AI49" s="82">
        <f>DATEDIF(--TEXT(MID(AC49,7,8),"0-00-00"),TODAY(),"y")</f>
        <v/>
      </c>
      <c r="AJ49" s="548">
        <f>TEXT(MID(AC49,7,8),"0000-00-00")</f>
        <v/>
      </c>
      <c r="AK49" s="95">
        <f>CHOOSE(MONTH(AJ49),1,1,1,2,2,2,3,3,3,4,4,4)</f>
        <v/>
      </c>
    </row>
    <row r="50" customFormat="1" s="549">
      <c r="A50" s="197" t="n">
        <v>48</v>
      </c>
      <c r="B50" s="550" t="inlineStr">
        <is>
          <t>童禹琪
（2024/11/25 已离职）</t>
        </is>
      </c>
      <c r="C50" s="550" t="inlineStr">
        <is>
          <t>/</t>
        </is>
      </c>
      <c r="D50" s="549" t="inlineStr">
        <is>
          <t>女</t>
        </is>
      </c>
      <c r="E50" s="550" t="inlineStr">
        <is>
          <t>800/天
按照每月出勤天数算</t>
        </is>
      </c>
      <c r="F50" s="550" t="inlineStr">
        <is>
          <t>短期2024年7月26日-10月25日在文石，属于文石的人
工资每天800元   无试用期
无其他补贴 无其他费用
3个月支撑 每月5号发工资</t>
        </is>
      </c>
      <c r="G50" s="550" t="inlineStr">
        <is>
          <t>兼职协议，材料齐全 
已回寄员工
合同续租到24年12月31日，材料齐全 ，已回寄员工
（长期版本）-有出差补贴
2024年11月1日借款1万，已经还款1104</t>
        </is>
      </c>
      <c r="H50" s="549" t="inlineStr">
        <is>
          <t>系统验证工程师</t>
        </is>
      </c>
      <c r="I50" s="551" t="inlineStr">
        <is>
          <t>2024/7/26
2024/7/26入职的！</t>
        </is>
      </c>
      <c r="J50" s="552" t="inlineStr">
        <is>
          <t>2024/11/25 lastday</t>
        </is>
      </c>
      <c r="K50" s="552" t="inlineStr">
        <is>
          <t>短期三个月支撑</t>
        </is>
      </c>
      <c r="L50" s="553" t="inlineStr">
        <is>
          <t>/</t>
        </is>
      </c>
      <c r="M50" s="549" t="inlineStr">
        <is>
          <t>上海</t>
        </is>
      </c>
      <c r="N50" s="550" t="inlineStr">
        <is>
          <t>/
确定不缴纳五险一金</t>
        </is>
      </c>
      <c r="O50" s="562" t="inlineStr">
        <is>
          <t>800/天
按照每月出勤天数算</t>
        </is>
      </c>
      <c r="P50" s="562" t="inlineStr">
        <is>
          <t>800/天
按照每月出勤天数算</t>
        </is>
      </c>
      <c r="Q50" s="532" t="n">
        <v>0</v>
      </c>
      <c r="R50" s="532" t="n">
        <v>0</v>
      </c>
      <c r="S50" s="532" t="n">
        <v>0</v>
      </c>
      <c r="T50" s="550" t="inlineStr">
        <is>
          <t>第一次合同：短期
2024/7/26-2024/10/25
规划三个月支撑</t>
        </is>
      </c>
      <c r="U50" s="549" t="inlineStr">
        <is>
          <t>短期 无试用期</t>
        </is>
      </c>
      <c r="V50" s="549" t="inlineStr">
        <is>
          <t>航空地面设备维修</t>
        </is>
      </c>
      <c r="W50" s="551" t="n">
        <v>44013</v>
      </c>
      <c r="X50" s="549" t="inlineStr">
        <is>
          <t>专科</t>
        </is>
      </c>
      <c r="Y50" s="557" t="inlineStr">
        <is>
          <t>779990810@qq.com</t>
        </is>
      </c>
      <c r="Z50" s="549" t="inlineStr">
        <is>
          <t>上海市宝山区富阳路223弄35号602室</t>
        </is>
      </c>
      <c r="AA50" s="549" t="inlineStr">
        <is>
          <t>上海市宝山区富杨路223弄35门602</t>
        </is>
      </c>
      <c r="AB50" s="197" t="n">
        <v>18221820585</v>
      </c>
      <c r="AC50" s="556" t="inlineStr">
        <is>
          <t>510402199908103831</t>
        </is>
      </c>
      <c r="AD50" s="556" t="inlineStr">
        <is>
          <t>6214831774018425</t>
        </is>
      </c>
      <c r="AE50" s="549" t="inlineStr">
        <is>
          <t>招商银行上海宝山支行</t>
        </is>
      </c>
      <c r="AG50" s="549" t="inlineStr">
        <is>
          <t>否</t>
        </is>
      </c>
      <c r="AH50" s="552" t="inlineStr">
        <is>
          <t>离职啦</t>
        </is>
      </c>
      <c r="AI50" s="82">
        <f>DATEDIF(--TEXT(MID(AC50,7,8),"0-00-00"),TODAY(),"y")</f>
        <v/>
      </c>
      <c r="AJ50" s="548">
        <f>TEXT(MID(AC50,7,8),"0000-00-00")</f>
        <v/>
      </c>
      <c r="AK50" s="95">
        <f>CHOOSE(MONTH(AJ50),1,1,1,2,2,2,3,3,3,4,4,4)</f>
        <v/>
      </c>
    </row>
    <row r="51" customFormat="1" s="549">
      <c r="A51" s="197" t="n">
        <v>49</v>
      </c>
      <c r="B51" s="550" t="inlineStr">
        <is>
          <t>汪清
（2025/3/21日 已离职）</t>
        </is>
      </c>
      <c r="C51" s="550" t="inlineStr">
        <is>
          <t>/</t>
        </is>
      </c>
      <c r="D51" s="549" t="inlineStr">
        <is>
          <t>女</t>
        </is>
      </c>
      <c r="E51" s="549" t="n">
        <v>8000</v>
      </c>
      <c r="F51" s="550" t="inlineStr">
        <is>
          <t>短期支撑8个月左右
2024年7月29日-2025年3月21日
工资8000元   无试用期
无其他补贴 无其他费用
每月5号发工资，离职补贴500元</t>
        </is>
      </c>
      <c r="G51" s="550" t="inlineStr">
        <is>
          <t>材料齐全 
已回寄员工
2025/3/21日 lastday短期正常结束</t>
        </is>
      </c>
      <c r="H51" s="549" t="inlineStr">
        <is>
          <t>税务专员</t>
        </is>
      </c>
      <c r="I51" s="551" t="n">
        <v>45502</v>
      </c>
      <c r="J51" s="552" t="inlineStr">
        <is>
          <t>2025/3/21日 lastday短期正常结束</t>
        </is>
      </c>
      <c r="K51" s="552" t="inlineStr">
        <is>
          <t>短期8个月支撑
直接正式期</t>
        </is>
      </c>
      <c r="L51" s="553" t="n">
        <v>45505</v>
      </c>
      <c r="M51" s="549" t="inlineStr">
        <is>
          <t>南京</t>
        </is>
      </c>
      <c r="N51" s="549" t="inlineStr">
        <is>
          <t>南京</t>
        </is>
      </c>
      <c r="O51" s="554" t="n">
        <v>8000</v>
      </c>
      <c r="P51" s="554" t="n">
        <v>8000</v>
      </c>
      <c r="Q51" s="532" t="n">
        <v>0</v>
      </c>
      <c r="R51" s="532" t="n">
        <v>0</v>
      </c>
      <c r="S51" s="532" t="n">
        <v>0</v>
      </c>
      <c r="T51" s="550" t="inlineStr">
        <is>
          <t>第一次合同：8个月短期
2024/7/29-2025/3/21</t>
        </is>
      </c>
      <c r="U51" s="549" t="inlineStr">
        <is>
          <t>短期 无试用期</t>
        </is>
      </c>
      <c r="V51" s="549" t="inlineStr">
        <is>
          <t>会计学</t>
        </is>
      </c>
      <c r="W51" s="551" t="n">
        <v>44743</v>
      </c>
      <c r="X51" s="549" t="inlineStr">
        <is>
          <t>函授专科</t>
        </is>
      </c>
      <c r="Y51" s="557" t="inlineStr">
        <is>
          <t xml:space="preserve">624938462@qq.com </t>
        </is>
      </c>
      <c r="Z51" s="549" t="inlineStr">
        <is>
          <t>江苏省南京市江宁区麒麟街道东郊小镇第一街区 34幢306室</t>
        </is>
      </c>
      <c r="AA51" s="550" t="inlineStr">
        <is>
          <t>江苏省南京市江宁区麒麟街道东郊小镇第一街区 
汪清 18851692340</t>
        </is>
      </c>
      <c r="AB51" s="197" t="n">
        <v>18851692340</v>
      </c>
      <c r="AC51" s="556" t="inlineStr">
        <is>
          <t>360403199408241822</t>
        </is>
      </c>
      <c r="AD51" s="556" t="inlineStr">
        <is>
          <t>6217001370053262788</t>
        </is>
      </c>
      <c r="AE51" s="549" t="inlineStr">
        <is>
          <t>中国建设银行</t>
        </is>
      </c>
      <c r="AF51" s="549" t="n"/>
      <c r="AG51" s="549" t="inlineStr">
        <is>
          <t>否</t>
        </is>
      </c>
      <c r="AH51" s="552" t="inlineStr">
        <is>
          <t>离职啦</t>
        </is>
      </c>
      <c r="AI51" s="82">
        <f>DATEDIF(--TEXT(MID(AC51,7,8),"0-00-00"),TODAY(),"y")</f>
        <v/>
      </c>
      <c r="AJ51" s="548">
        <f>TEXT(MID(AC51,7,8),"0000-00-00")</f>
        <v/>
      </c>
      <c r="AK51" s="95">
        <f>CHOOSE(MONTH(AJ51),1,1,1,2,2,2,3,3,3,4,4,4)</f>
        <v/>
      </c>
    </row>
    <row r="52" customFormat="1" s="549">
      <c r="A52" s="197" t="n">
        <v>50</v>
      </c>
      <c r="B52" s="550" t="inlineStr">
        <is>
          <t>谢兴晨
（2024年8月23日已离职）</t>
        </is>
      </c>
      <c r="C52" s="550" t="inlineStr">
        <is>
          <t>/</t>
        </is>
      </c>
      <c r="D52" s="549" t="inlineStr">
        <is>
          <t>男</t>
        </is>
      </c>
      <c r="E52" s="549" t="n">
        <v>14000</v>
      </c>
      <c r="F52" s="550" t="inlineStr">
        <is>
          <t>短期3个月支撑  
日期：2024年7月31日至2024年10月30日预计3个月
14k 试用期不打折,
项目结束后,给1500左右补贴（无需给，已经提前离职）
缴纳五险一金</t>
        </is>
      </c>
      <c r="G52" s="550" t="inlineStr">
        <is>
          <t>材料齐全 
已回寄员工
(2024年8月23日lastday)</t>
        </is>
      </c>
      <c r="H52" s="549" t="inlineStr">
        <is>
          <t>前端开发</t>
        </is>
      </c>
      <c r="I52" s="551" t="n">
        <v>45504</v>
      </c>
      <c r="J52" s="552" t="inlineStr">
        <is>
          <t>2024年8月23日lastday</t>
        </is>
      </c>
      <c r="K52" s="552" t="inlineStr">
        <is>
          <t>短期3个月支撑</t>
        </is>
      </c>
      <c r="L52" s="553" t="n">
        <v>45506</v>
      </c>
      <c r="M52" s="549" t="inlineStr">
        <is>
          <t>南京</t>
        </is>
      </c>
      <c r="N52" s="549" t="inlineStr">
        <is>
          <t>南京</t>
        </is>
      </c>
      <c r="O52" s="554" t="n">
        <v>14000</v>
      </c>
      <c r="P52" s="554" t="n">
        <v>14000</v>
      </c>
      <c r="Q52" s="532" t="n">
        <v>0</v>
      </c>
      <c r="R52" s="532" t="n">
        <v>0</v>
      </c>
      <c r="S52" s="532" t="n">
        <v>0</v>
      </c>
      <c r="T52" s="550" t="inlineStr">
        <is>
          <t xml:space="preserve">第一次合同：3个月短期
2024/7/31-2024/10/30
预计3个月
</t>
        </is>
      </c>
      <c r="U52" s="549" t="inlineStr">
        <is>
          <t>短期 无试用期</t>
        </is>
      </c>
      <c r="V52" s="549" t="inlineStr">
        <is>
          <t>计算机科学与技术</t>
        </is>
      </c>
      <c r="W52" s="551" t="n">
        <v>43617</v>
      </c>
      <c r="X52" s="549" t="inlineStr">
        <is>
          <t>本科</t>
        </is>
      </c>
      <c r="Y52" s="557" t="inlineStr">
        <is>
          <t>18234936942@163.com</t>
        </is>
      </c>
      <c r="Z52" s="549" t="inlineStr">
        <is>
          <t>山西省朔州市朔城区市府西街47号48栋4单元302室</t>
        </is>
      </c>
      <c r="AA52" s="550" t="inlineStr">
        <is>
          <t>南京市建邺区双闸街道定康街40号紫金和寓3栋1单元1303  18234936942谢兴晨</t>
        </is>
      </c>
      <c r="AB52" s="197" t="n">
        <v>18234936942</v>
      </c>
      <c r="AC52" s="556" t="inlineStr">
        <is>
          <t>140602200301289630</t>
        </is>
      </c>
      <c r="AD52" s="556" t="inlineStr">
        <is>
          <t>6217001370059039388</t>
        </is>
      </c>
      <c r="AE52" s="549" t="inlineStr">
        <is>
          <t>中国建设银行</t>
        </is>
      </c>
      <c r="AF52" s="549" t="n"/>
      <c r="AG52" s="549" t="inlineStr">
        <is>
          <t>否</t>
        </is>
      </c>
      <c r="AH52" s="552" t="inlineStr">
        <is>
          <t>离职啦</t>
        </is>
      </c>
      <c r="AI52" s="82">
        <f>DATEDIF(--TEXT(MID(AC52,7,8),"0-00-00"),TODAY(),"y")</f>
        <v/>
      </c>
      <c r="AJ52" s="548">
        <f>TEXT(MID(AC52,7,8),"0000-00-00")</f>
        <v/>
      </c>
      <c r="AK52" s="95">
        <f>CHOOSE(MONTH(AJ52),1,1,1,2,2,2,3,3,3,4,4,4)</f>
        <v/>
      </c>
    </row>
    <row r="53" customFormat="1" s="532">
      <c r="A53" s="82" t="n">
        <v>24</v>
      </c>
      <c r="B53" s="532" t="inlineStr">
        <is>
          <t>郑翔</t>
        </is>
      </c>
      <c r="C53" s="532" t="inlineStr">
        <is>
          <t>南京文石</t>
        </is>
      </c>
      <c r="D53" s="532" t="inlineStr">
        <is>
          <t>男</t>
        </is>
      </c>
      <c r="E53" s="532" t="n">
        <v>16500</v>
      </c>
      <c r="F53" s="541" t="inlineStr">
        <is>
          <t>试用期转正都是16500  试用期3个月
1年合同，9月开始缴纳南京五险一金</t>
        </is>
      </c>
      <c r="G53" s="541" t="inlineStr">
        <is>
          <t>材料齐全
已回寄员工</t>
        </is>
      </c>
      <c r="H53" s="532" t="inlineStr">
        <is>
          <t>测试开发工程师</t>
        </is>
      </c>
      <c r="I53" s="533" t="n">
        <v>45509</v>
      </c>
      <c r="J53" s="547" t="inlineStr">
        <is>
          <t>/</t>
        </is>
      </c>
      <c r="K53" s="547" t="inlineStr">
        <is>
          <t>2024/11/4转正工资
试用期3个月</t>
        </is>
      </c>
      <c r="L53" s="534" t="n">
        <v>45536</v>
      </c>
      <c r="M53" s="532" t="inlineStr">
        <is>
          <t>南京</t>
        </is>
      </c>
      <c r="N53" s="532" t="inlineStr">
        <is>
          <t>南京</t>
        </is>
      </c>
      <c r="O53" s="532" t="n">
        <v>13200</v>
      </c>
      <c r="P53" s="532" t="n">
        <v>16500</v>
      </c>
      <c r="Q53" s="532" t="n">
        <v>0</v>
      </c>
      <c r="R53" s="532" t="n">
        <v>0</v>
      </c>
      <c r="S53" s="532" t="n">
        <v>0</v>
      </c>
      <c r="T53" s="541" t="inlineStr">
        <is>
          <t>第一次劳动合同:1年：2024/8/5-2025/8/4
第二次劳动合同:3年：2025/8/5-2028/8/4</t>
        </is>
      </c>
      <c r="U53" s="532" t="n">
        <v>7</v>
      </c>
      <c r="V53" s="532" t="inlineStr">
        <is>
          <t>测试开发工程师</t>
        </is>
      </c>
      <c r="W53" s="533" t="n">
        <v>43647</v>
      </c>
      <c r="X53" s="532" t="inlineStr">
        <is>
          <t>本科</t>
        </is>
      </c>
      <c r="Y53" s="545" t="inlineStr">
        <is>
          <t>1436006750@qq.com</t>
        </is>
      </c>
      <c r="Z53" s="532" t="inlineStr">
        <is>
          <t>安徽省肥东县古城镇岱山村郑洼组</t>
        </is>
      </c>
      <c r="AA53" s="541" t="inlineStr">
        <is>
          <t>南京市鼓楼区幕府山街道
五佰村路五塘新村南汽一村51幢一单元602</t>
        </is>
      </c>
      <c r="AB53" s="82" t="n">
        <v>15375264916</v>
      </c>
      <c r="AC53" s="546" t="inlineStr">
        <is>
          <t>340123199607111911</t>
        </is>
      </c>
      <c r="AD53" s="546" t="inlineStr">
        <is>
          <t>6217001630023280941</t>
        </is>
      </c>
      <c r="AE53" s="532" t="inlineStr">
        <is>
          <t>中国建设银行</t>
        </is>
      </c>
      <c r="AG53" s="532" t="inlineStr">
        <is>
          <t>是</t>
        </is>
      </c>
      <c r="AH53" s="547" t="inlineStr">
        <is>
          <t>第一次劳动合同:1年：2024/8/5-2025/8/4
第二次劳动合同:3年：2025/8/5-2028/8/4</t>
        </is>
      </c>
      <c r="AI53" s="82">
        <f>DATEDIF(--TEXT(MID(AC53,7,8),"0-00-00"),TODAY(),"y")</f>
        <v/>
      </c>
      <c r="AJ53" s="548">
        <f>TEXT(MID(AC53,7,8),"0000-00-00")</f>
        <v/>
      </c>
      <c r="AK53" s="95">
        <f>CHOOSE(MONTH(AJ53),1,1,1,2,2,2,3,3,3,4,4,4)</f>
        <v/>
      </c>
    </row>
    <row r="54" customFormat="1" s="532">
      <c r="A54" s="82" t="n">
        <v>25</v>
      </c>
      <c r="B54" s="532" t="inlineStr">
        <is>
          <t>边广飞</t>
        </is>
      </c>
      <c r="C54" s="532" t="inlineStr">
        <is>
          <t>邦芒</t>
        </is>
      </c>
      <c r="D54" s="532" t="inlineStr">
        <is>
          <t>男</t>
        </is>
      </c>
      <c r="E54" s="532">
        <f>13000+1000+1500</f>
        <v/>
      </c>
      <c r="F54" s="541" t="inlineStr">
        <is>
          <t>工资,10400/13000，试用期3个月
2025年5月起 涨薪1000元，目前14000
无其他补贴 无其他费用，长期3年合同
边广飞自2026年5月起涨薪1500元，目前薪资14000+1500=15500元</t>
        </is>
      </c>
      <c r="G54" s="541" t="inlineStr">
        <is>
          <t>材料缺体检报告
已回寄员工</t>
        </is>
      </c>
      <c r="H54" s="532" t="inlineStr">
        <is>
          <t>智能驾驶整车改装工程师</t>
        </is>
      </c>
      <c r="I54" s="533" t="n">
        <v>45516</v>
      </c>
      <c r="J54" s="547" t="inlineStr">
        <is>
          <t>/</t>
        </is>
      </c>
      <c r="K54" s="547" t="inlineStr">
        <is>
          <t>2024/11/12转正工资
试用期时间6个月</t>
        </is>
      </c>
      <c r="L54" s="534" t="n">
        <v>45505</v>
      </c>
      <c r="M54" s="532" t="inlineStr">
        <is>
          <t>上海</t>
        </is>
      </c>
      <c r="N54" s="532" t="inlineStr">
        <is>
          <t>上海</t>
        </is>
      </c>
      <c r="O54" s="532" t="n">
        <v>10400</v>
      </c>
      <c r="P54" s="532" t="n">
        <v>13000</v>
      </c>
      <c r="Q54" s="532" t="n">
        <v>0</v>
      </c>
      <c r="R54" s="532" t="n">
        <v>0</v>
      </c>
      <c r="S54" s="532" t="n">
        <v>0</v>
      </c>
      <c r="T54" s="541" t="inlineStr">
        <is>
          <t>第一次合同：3年:
2024/8/12-2027/8/11</t>
        </is>
      </c>
      <c r="U54" s="541" t="inlineStr">
        <is>
          <t>试用期6个月
第3个月转正薪资</t>
        </is>
      </c>
      <c r="V54" s="532" t="inlineStr">
        <is>
          <t>汽车检测与维修技术</t>
        </is>
      </c>
      <c r="W54" s="533" t="n">
        <v>41090</v>
      </c>
      <c r="X54" s="532" t="inlineStr">
        <is>
          <t>专科</t>
        </is>
      </c>
      <c r="Y54" s="563" t="inlineStr">
        <is>
          <t>931376221@qq.com</t>
        </is>
      </c>
      <c r="Z54" s="532" t="inlineStr">
        <is>
          <t>山东省郓城县双桥乡马山东省郓城县双桥乡马集行政村马集村045号集行政村马集村045号</t>
        </is>
      </c>
      <c r="AA54" s="532" t="inlineStr">
        <is>
          <t>上海市浦东新区法拉第路258号品域·生佳  边广飞 18810892827</t>
        </is>
      </c>
      <c r="AB54" s="82" t="n">
        <v>18810892827</v>
      </c>
      <c r="AC54" s="546" t="inlineStr">
        <is>
          <t>372928198808281077</t>
        </is>
      </c>
      <c r="AD54" s="546" t="inlineStr">
        <is>
          <t>6217001180083613425</t>
        </is>
      </c>
      <c r="AE54" s="532" t="inlineStr">
        <is>
          <t>中国建设银行</t>
        </is>
      </c>
      <c r="AG54" s="532" t="inlineStr">
        <is>
          <t>是</t>
        </is>
      </c>
      <c r="AH54" s="547" t="inlineStr">
        <is>
          <t>第一次劳动合同：3年：2024/8/12-2027/8/11</t>
        </is>
      </c>
      <c r="AI54" s="82">
        <f>DATEDIF(--TEXT(MID(AC54,7,8),"0-00-00"),TODAY(),"y")</f>
        <v/>
      </c>
      <c r="AJ54" s="548">
        <f>TEXT(MID(AC54,7,8),"0000-00-00")</f>
        <v/>
      </c>
      <c r="AK54" s="95">
        <f>CHOOSE(MONTH(AJ54),1,1,1,2,2,2,3,3,3,4,4,4)</f>
        <v/>
      </c>
    </row>
    <row r="55" customFormat="1" s="549">
      <c r="A55" s="197" t="n">
        <v>53</v>
      </c>
      <c r="B55" s="550" t="inlineStr">
        <is>
          <t>刘智
（2024年8月24日已离职）</t>
        </is>
      </c>
      <c r="C55" s="550" t="inlineStr">
        <is>
          <t>/</t>
        </is>
      </c>
      <c r="D55" s="549" t="inlineStr">
        <is>
          <t>男</t>
        </is>
      </c>
      <c r="E55" s="549" t="n">
        <v>6300</v>
      </c>
      <c r="F55" s="550" t="inlineStr">
        <is>
          <t>工资6300无试用期不打折
短期员工
录用周期为  3 个月，结束时间为小米测试项目结束!</t>
        </is>
      </c>
      <c r="G55" s="550" t="inlineStr">
        <is>
          <t>材料齐全
已回寄员工</t>
        </is>
      </c>
      <c r="H55" s="549" t="inlineStr">
        <is>
          <t>测试工程师</t>
        </is>
      </c>
      <c r="I55" s="551" t="n">
        <v>45523</v>
      </c>
      <c r="J55" s="551" t="inlineStr">
        <is>
          <t>2024年8月24日lastday</t>
        </is>
      </c>
      <c r="K55" s="551" t="inlineStr">
        <is>
          <t>短期三个月支撑</t>
        </is>
      </c>
      <c r="L55" s="553" t="inlineStr">
        <is>
          <t>/</t>
        </is>
      </c>
      <c r="M55" s="549" t="inlineStr">
        <is>
          <t>南京</t>
        </is>
      </c>
      <c r="N55" s="549" t="inlineStr">
        <is>
          <t>南京</t>
        </is>
      </c>
      <c r="O55" s="554" t="n">
        <v>6300</v>
      </c>
      <c r="P55" s="554" t="n">
        <v>6300</v>
      </c>
      <c r="Q55" s="532" t="n">
        <v>0</v>
      </c>
      <c r="R55" s="532" t="n">
        <v>0</v>
      </c>
      <c r="S55" s="532" t="n">
        <v>0</v>
      </c>
      <c r="T55" s="550" t="inlineStr">
        <is>
          <t>第一次合同：3个月短期
2024/8/19-2024/11/18
预计3个月</t>
        </is>
      </c>
      <c r="U55" s="550" t="inlineStr">
        <is>
          <t>短期 无试用期</t>
        </is>
      </c>
      <c r="V55" s="549" t="inlineStr">
        <is>
          <t>计算机应用技术</t>
        </is>
      </c>
      <c r="W55" s="551" t="n">
        <v>45108</v>
      </c>
      <c r="X55" s="549" t="inlineStr">
        <is>
          <t>专科</t>
        </is>
      </c>
      <c r="Y55" s="557" t="inlineStr">
        <is>
          <t>2632243167@qq.com</t>
        </is>
      </c>
      <c r="Z55" s="549" t="inlineStr">
        <is>
          <t>辽宁省抚顺市顺城区延吉南路8号楼4单元101号</t>
        </is>
      </c>
      <c r="AA55" s="549" t="inlineStr">
        <is>
          <t xml:space="preserve">南京市雨花台区安德门大街48号怡化中心A座11楼   </t>
        </is>
      </c>
      <c r="AB55" s="197" t="n">
        <v>15898312768</v>
      </c>
      <c r="AC55" s="556" t="inlineStr">
        <is>
          <t>210411200110043236</t>
        </is>
      </c>
      <c r="AD55" s="556" t="inlineStr">
        <is>
          <t>6217000730041810538</t>
        </is>
      </c>
      <c r="AE55" s="549" t="inlineStr">
        <is>
          <t>中国建设银行</t>
        </is>
      </c>
      <c r="AF55" s="549" t="n"/>
      <c r="AG55" s="549" t="inlineStr">
        <is>
          <t>否</t>
        </is>
      </c>
      <c r="AH55" s="552" t="inlineStr">
        <is>
          <t>离职啦</t>
        </is>
      </c>
      <c r="AI55" s="82">
        <f>DATEDIF(--TEXT(MID(AC55,7,8),"0-00-00"),TODAY(),"y")</f>
        <v/>
      </c>
      <c r="AJ55" s="548">
        <f>TEXT(MID(AC55,7,8),"0000-00-00")</f>
        <v/>
      </c>
      <c r="AK55" s="95">
        <f>CHOOSE(MONTH(AJ55),1,1,1,2,2,2,3,3,3,4,4,4)</f>
        <v/>
      </c>
    </row>
    <row r="56" customFormat="1" s="549">
      <c r="A56" s="197" t="n">
        <v>54</v>
      </c>
      <c r="B56" s="550" t="inlineStr">
        <is>
          <t>李诗林
（2024/12/27已离职）</t>
        </is>
      </c>
      <c r="C56" s="550" t="inlineStr">
        <is>
          <t>/</t>
        </is>
      </c>
      <c r="D56" s="549" t="inlineStr">
        <is>
          <t>男</t>
        </is>
      </c>
      <c r="E56" s="549" t="n">
        <v>6000</v>
      </c>
      <c r="F56" s="550" t="inlineStr">
        <is>
          <t>工资6k短期不打折
短期员工
录用周期3个月 每月补贴1k</t>
        </is>
      </c>
      <c r="G56" s="550" t="inlineStr">
        <is>
          <t>材料齐全
已回寄员工
还缺不缴纳五险一金说明</t>
        </is>
      </c>
      <c r="H56" s="549" t="inlineStr">
        <is>
          <t>测试工程师</t>
        </is>
      </c>
      <c r="I56" s="551" t="n">
        <v>45525</v>
      </c>
      <c r="J56" s="552" t="inlineStr">
        <is>
          <t>2024/12/27l
astday</t>
        </is>
      </c>
      <c r="K56" s="551" t="inlineStr">
        <is>
          <t>短期三个月支撑</t>
        </is>
      </c>
      <c r="L56" s="561" t="inlineStr">
        <is>
          <t>不缴纳
补贴1000元/月</t>
        </is>
      </c>
      <c r="M56" s="549" t="inlineStr">
        <is>
          <t>南京</t>
        </is>
      </c>
      <c r="N56" s="549" t="inlineStr">
        <is>
          <t>南京</t>
        </is>
      </c>
      <c r="O56" s="554" t="n">
        <v>6000</v>
      </c>
      <c r="P56" s="554" t="n">
        <v>6000</v>
      </c>
      <c r="Q56" s="532" t="n">
        <v>0</v>
      </c>
      <c r="R56" s="532" t="n">
        <v>0</v>
      </c>
      <c r="S56" s="532" t="n">
        <v>0</v>
      </c>
      <c r="T56" s="550" t="inlineStr">
        <is>
          <t>第一次合同：3个月短期
2024/8/21-2024/11/20预计3个月</t>
        </is>
      </c>
      <c r="U56" s="550" t="inlineStr">
        <is>
          <t>短期 无试用期</t>
        </is>
      </c>
      <c r="V56" s="549" t="inlineStr">
        <is>
          <t>机械制造与自动化</t>
        </is>
      </c>
      <c r="W56" s="564" t="inlineStr">
        <is>
          <t>2018/7/1</t>
        </is>
      </c>
      <c r="X56" s="549" t="inlineStr">
        <is>
          <t>大专</t>
        </is>
      </c>
      <c r="Y56" s="557" t="inlineStr">
        <is>
          <t>1851651404@qq.com</t>
        </is>
      </c>
      <c r="Z56" s="549" t="inlineStr">
        <is>
          <t>江苏省丰县顺河镇河申15号</t>
        </is>
      </c>
      <c r="AA56" s="549" t="inlineStr">
        <is>
          <t>江苏省南京市六合区马鞍街道龙群路荣盛鹭岛荣府5幢</t>
        </is>
      </c>
      <c r="AB56" s="197" t="n">
        <v>18724145235</v>
      </c>
      <c r="AC56" s="556" t="inlineStr">
        <is>
          <t>320321199403203616</t>
        </is>
      </c>
      <c r="AD56" s="556" t="inlineStr">
        <is>
          <t>6214671370020422701</t>
        </is>
      </c>
      <c r="AE56" s="549" t="inlineStr">
        <is>
          <t>中国建设银行股份有限公司南京六合支行</t>
        </is>
      </c>
      <c r="AF56" s="549" t="n"/>
      <c r="AG56" s="549" t="inlineStr">
        <is>
          <t>否</t>
        </is>
      </c>
      <c r="AH56" s="552" t="inlineStr">
        <is>
          <t>离职啦</t>
        </is>
      </c>
      <c r="AI56" s="82">
        <f>DATEDIF(--TEXT(MID(AC56,7,8),"0-00-00"),TODAY(),"y")</f>
        <v/>
      </c>
      <c r="AJ56" s="548">
        <f>TEXT(MID(AC56,7,8),"0000-00-00")</f>
        <v/>
      </c>
      <c r="AK56" s="95">
        <f>CHOOSE(MONTH(AJ56),1,1,1,2,2,2,3,3,3,4,4,4)</f>
        <v/>
      </c>
    </row>
    <row r="57" customFormat="1" s="549">
      <c r="A57" s="197" t="n">
        <v>55</v>
      </c>
      <c r="B57" s="550" t="inlineStr">
        <is>
          <t>朱光涛
（2024年10月25日已离职）</t>
        </is>
      </c>
      <c r="C57" s="550" t="inlineStr">
        <is>
          <t>/</t>
        </is>
      </c>
      <c r="D57" s="549" t="inlineStr">
        <is>
          <t>男</t>
        </is>
      </c>
      <c r="E57" s="549" t="n">
        <v>6200</v>
      </c>
      <c r="F57" s="550" t="inlineStr">
        <is>
          <t>三个月支撑     
试用转正都是6.2K,（去小米上班晚上八点后会有每小时20元补贴）无试用期
无其他补贴,无其他费用-（10号发薪）</t>
        </is>
      </c>
      <c r="G57" s="550" t="inlineStr">
        <is>
          <t>材料齐全
已回寄员工
离职后才回寄他的</t>
        </is>
      </c>
      <c r="H57" s="549" t="inlineStr">
        <is>
          <t>手机整机测试</t>
        </is>
      </c>
      <c r="I57" s="551" t="n">
        <v>45526</v>
      </c>
      <c r="J57" s="551" t="inlineStr">
        <is>
          <t>2024年10月25日lastday</t>
        </is>
      </c>
      <c r="K57" s="551" t="inlineStr">
        <is>
          <t>短期三个月支撑,小米项目</t>
        </is>
      </c>
      <c r="L57" s="553" t="n">
        <v>45536</v>
      </c>
      <c r="M57" s="549" t="inlineStr">
        <is>
          <t>南京</t>
        </is>
      </c>
      <c r="N57" s="549" t="inlineStr">
        <is>
          <t>南京</t>
        </is>
      </c>
      <c r="O57" s="554" t="n">
        <v>6200</v>
      </c>
      <c r="P57" s="554" t="n">
        <v>6200</v>
      </c>
      <c r="Q57" s="532" t="n">
        <v>0</v>
      </c>
      <c r="R57" s="532" t="n">
        <v>0</v>
      </c>
      <c r="S57" s="532" t="n">
        <v>0</v>
      </c>
      <c r="T57" s="550" t="inlineStr">
        <is>
          <t>第一次合同：3个月短期
2024年8月22日至2024年11月21日 预计3个月</t>
        </is>
      </c>
      <c r="U57" s="550" t="inlineStr">
        <is>
          <t>短期 无试用期</t>
        </is>
      </c>
      <c r="V57" s="549" t="inlineStr">
        <is>
          <t>网络工程</t>
        </is>
      </c>
      <c r="W57" s="564" t="inlineStr">
        <is>
          <t>2024/6/1</t>
        </is>
      </c>
      <c r="X57" s="549" t="inlineStr">
        <is>
          <t>本科</t>
        </is>
      </c>
      <c r="Y57" s="557" t="inlineStr">
        <is>
          <t>2924572725@qq.com</t>
        </is>
      </c>
      <c r="Z57" s="549" t="inlineStr">
        <is>
          <t>安徽省含山县仙踪镇岗胡行政村张渡村023号</t>
        </is>
      </c>
      <c r="AA57" s="549" t="inlineStr">
        <is>
          <t>江苏省南京市雨花台区清荷北园</t>
        </is>
      </c>
      <c r="AB57" s="197" t="n">
        <v>17375389120</v>
      </c>
      <c r="AC57" s="549" t="inlineStr">
        <is>
          <t>34262520010904141X</t>
        </is>
      </c>
      <c r="AD57" s="556" t="inlineStr">
        <is>
          <t>6215340300700513881</t>
        </is>
      </c>
      <c r="AE57" s="550" t="inlineStr">
        <is>
          <t>中国建设银行股份有限公司
全椒金融广场支行</t>
        </is>
      </c>
      <c r="AF57" s="549" t="n"/>
      <c r="AG57" s="549" t="inlineStr">
        <is>
          <t>否</t>
        </is>
      </c>
      <c r="AH57" s="552" t="inlineStr">
        <is>
          <t>离职啦</t>
        </is>
      </c>
      <c r="AI57" s="82">
        <f>DATEDIF(--TEXT(MID(AC57,7,8),"0-00-00"),TODAY(),"y")</f>
        <v/>
      </c>
      <c r="AJ57" s="548">
        <f>TEXT(MID(AC57,7,8),"0000-00-00")</f>
        <v/>
      </c>
      <c r="AK57" s="95">
        <f>CHOOSE(MONTH(AJ57),1,1,1,2,2,2,3,3,3,4,4,4)</f>
        <v/>
      </c>
    </row>
    <row r="58" s="558">
      <c r="A58" s="82" t="n">
        <v>26</v>
      </c>
      <c r="B58" s="541" t="inlineStr">
        <is>
          <t>魏晨旭
（地瓜欣琰项目）</t>
        </is>
      </c>
      <c r="C58" s="541" t="inlineStr">
        <is>
          <t>北京文石</t>
        </is>
      </c>
      <c r="D58" s="532" t="inlineStr">
        <is>
          <t>男</t>
        </is>
      </c>
      <c r="E58" s="539">
        <f>26000+3000</f>
        <v/>
      </c>
      <c r="F58" s="541" t="inlineStr">
        <is>
          <t>工资20800/26k，试用期三个月打8折,无其他补贴，合同3年长期
2026年6月1号起薪资涨3000，最新薪资26000+3000=29000元</t>
        </is>
      </c>
      <c r="G58" s="541" t="inlineStr">
        <is>
          <t>材料齐全
已回寄员工</t>
        </is>
      </c>
      <c r="H58" s="532" t="inlineStr">
        <is>
          <t>AI系统芯片软件开发工程师</t>
        </is>
      </c>
      <c r="I58" s="533" t="n">
        <v>45530</v>
      </c>
      <c r="J58" s="547" t="inlineStr">
        <is>
          <t>/</t>
        </is>
      </c>
      <c r="K58" s="547" t="inlineStr">
        <is>
          <t>2024/11/25转正工资
试用期时间6个月</t>
        </is>
      </c>
      <c r="L58" s="534" t="n">
        <v>45536</v>
      </c>
      <c r="M58" s="532" t="inlineStr">
        <is>
          <t>北京</t>
        </is>
      </c>
      <c r="N58" s="532" t="inlineStr">
        <is>
          <t>北京</t>
        </is>
      </c>
      <c r="O58" s="532" t="n">
        <v>20800</v>
      </c>
      <c r="P58" s="532" t="n">
        <v>26000</v>
      </c>
      <c r="Q58" s="532" t="n">
        <v>0</v>
      </c>
      <c r="R58" s="532" t="n">
        <v>0</v>
      </c>
      <c r="S58" s="532" t="n">
        <v>0</v>
      </c>
      <c r="T58" s="541" t="inlineStr">
        <is>
          <t>第一次合同：3年
2024/8/25-2027/8/24</t>
        </is>
      </c>
      <c r="U58" s="541" t="inlineStr">
        <is>
          <t>试用期6个月
第3个月转正薪资</t>
        </is>
      </c>
      <c r="V58" s="532" t="inlineStr">
        <is>
          <t>机械电子</t>
        </is>
      </c>
      <c r="W58" s="565" t="inlineStr">
        <is>
          <t>2016/7/1</t>
        </is>
      </c>
      <c r="X58" s="532" t="inlineStr">
        <is>
          <t>本科</t>
        </is>
      </c>
      <c r="Y58" s="545" t="inlineStr">
        <is>
          <t>chance.wei@foxmail.com</t>
        </is>
      </c>
      <c r="Z58" s="532" t="inlineStr">
        <is>
          <t>天津市红桥区涟源路龙禧园62号楼3门501号</t>
        </is>
      </c>
      <c r="AA58" s="532" t="inlineStr">
        <is>
          <t>北京市海淀区上庄家园东区29号楼6单元402</t>
        </is>
      </c>
      <c r="AB58" s="82" t="n">
        <v>18335166812</v>
      </c>
      <c r="AC58" s="546" t="inlineStr">
        <is>
          <t>131122199306092855</t>
        </is>
      </c>
      <c r="AD58" s="546" t="inlineStr">
        <is>
          <t>6214670060033075312</t>
        </is>
      </c>
      <c r="AE58" s="532" t="inlineStr">
        <is>
          <t>中国建设银行</t>
        </is>
      </c>
      <c r="AG58" s="532" t="inlineStr">
        <is>
          <t>是</t>
        </is>
      </c>
      <c r="AH58" s="547" t="inlineStr">
        <is>
          <t xml:space="preserve">
第一次劳动合同：3年：
2024/8/25-2027/8/24</t>
        </is>
      </c>
      <c r="AI58" s="82">
        <f>DATEDIF(--TEXT(MID(AC58,7,8),"0-00-00"),TODAY(),"y")</f>
        <v/>
      </c>
      <c r="AJ58" s="548">
        <f>TEXT(MID(AC58,7,8),"0000-00-00")</f>
        <v/>
      </c>
      <c r="AK58" s="95">
        <f>CHOOSE(MONTH(AJ58),1,1,1,2,2,2,3,3,3,4,4,4)</f>
        <v/>
      </c>
    </row>
    <row r="59" s="558">
      <c r="A59" s="82" t="n">
        <v>27</v>
      </c>
      <c r="B59" s="532" t="inlineStr">
        <is>
          <t>李东辉</t>
        </is>
      </c>
      <c r="C59" s="541" t="inlineStr">
        <is>
          <t>北京文石</t>
        </is>
      </c>
      <c r="D59" s="532" t="inlineStr">
        <is>
          <t>男</t>
        </is>
      </c>
      <c r="E59" s="532" t="n">
        <v>24000</v>
      </c>
      <c r="F59" s="541" t="inlineStr">
        <is>
          <t>工资19200/24k
试用期三个月打8折,无其他补贴
合同3年的，长期</t>
        </is>
      </c>
      <c r="G59" s="541" t="inlineStr">
        <is>
          <t>材料齐全
已回寄员工</t>
        </is>
      </c>
      <c r="H59" s="532" t="inlineStr">
        <is>
          <t xml:space="preserve"> C++软件开发工程师</t>
        </is>
      </c>
      <c r="I59" s="533" t="n">
        <v>45530</v>
      </c>
      <c r="J59" s="547" t="inlineStr">
        <is>
          <t>/</t>
        </is>
      </c>
      <c r="K59" s="547" t="inlineStr">
        <is>
          <t>2024/11/25转正工资
试用期时间6个月</t>
        </is>
      </c>
      <c r="L59" s="534" t="n">
        <v>45536</v>
      </c>
      <c r="M59" s="532" t="inlineStr">
        <is>
          <t>北京</t>
        </is>
      </c>
      <c r="N59" s="532" t="inlineStr">
        <is>
          <t>北京</t>
        </is>
      </c>
      <c r="O59" s="532" t="n">
        <v>19200</v>
      </c>
      <c r="P59" s="532" t="n">
        <v>24000</v>
      </c>
      <c r="Q59" s="532" t="n">
        <v>0</v>
      </c>
      <c r="R59" s="532" t="n">
        <v>0</v>
      </c>
      <c r="S59" s="532" t="n">
        <v>0</v>
      </c>
      <c r="T59" s="541" t="inlineStr">
        <is>
          <t>第一次合同：3年
2024/8/25-2027/8/24</t>
        </is>
      </c>
      <c r="U59" s="541" t="inlineStr">
        <is>
          <t>试用期6个月
第3个月转正薪资</t>
        </is>
      </c>
      <c r="V59" s="532" t="inlineStr">
        <is>
          <t>计算机科学与技术</t>
        </is>
      </c>
      <c r="W59" s="565" t="inlineStr">
        <is>
          <t>2018/7/2</t>
        </is>
      </c>
      <c r="X59" s="532" t="inlineStr">
        <is>
          <t>本科</t>
        </is>
      </c>
      <c r="Y59" s="545" t="inlineStr">
        <is>
          <t>smalldy@foxmail.com</t>
        </is>
      </c>
      <c r="Z59" s="532" t="inlineStr">
        <is>
          <t>河北省保定市徐水区东史端镇北湖渠村一小区133号</t>
        </is>
      </c>
      <c r="AA59" s="532" t="inlineStr">
        <is>
          <t>北京市海淀区永旺家园一区1号楼4单元1502</t>
        </is>
      </c>
      <c r="AB59" s="82" t="n">
        <v>18342910556</v>
      </c>
      <c r="AC59" s="546" t="inlineStr">
        <is>
          <t>130625199408291615</t>
        </is>
      </c>
      <c r="AD59" s="546" t="inlineStr">
        <is>
          <t>6217000010198295449</t>
        </is>
      </c>
      <c r="AE59" s="532" t="inlineStr">
        <is>
          <t>中国建设银行</t>
        </is>
      </c>
      <c r="AG59" s="532" t="inlineStr">
        <is>
          <t>是</t>
        </is>
      </c>
      <c r="AH59" s="547" t="inlineStr">
        <is>
          <t>第一次劳动合同：3年：
2024/8/25-2027/8/24</t>
        </is>
      </c>
      <c r="AI59" s="82">
        <f>DATEDIF(--TEXT(MID(AC59,7,8),"0-00-00"),TODAY(),"y")</f>
        <v/>
      </c>
      <c r="AJ59" s="548">
        <f>TEXT(MID(AC59,7,8),"0000-00-00")</f>
        <v/>
      </c>
      <c r="AK59" s="95">
        <f>CHOOSE(MONTH(AJ59),1,1,1,2,2,2,3,3,3,4,4,4)</f>
        <v/>
      </c>
    </row>
    <row r="60" customFormat="1" s="549">
      <c r="A60" s="197" t="n">
        <v>58</v>
      </c>
      <c r="B60" s="550" t="inlineStr">
        <is>
          <t>孙杰
(2024年9月2日已离职）</t>
        </is>
      </c>
      <c r="C60" s="550" t="inlineStr">
        <is>
          <t>/</t>
        </is>
      </c>
      <c r="D60" s="549" t="inlineStr">
        <is>
          <t>男</t>
        </is>
      </c>
      <c r="E60" s="549" t="n">
        <v>4800</v>
      </c>
      <c r="F60" s="550" t="inlineStr">
        <is>
          <t>工资4.8k/4.8k短期项目
三个月支撑                      
无试用期 无其他补贴,无其他费用</t>
        </is>
      </c>
      <c r="G60" s="550" t="inlineStr">
        <is>
          <t>材料齐全
未回寄员工
无需邮寄员工已离职</t>
        </is>
      </c>
      <c r="H60" s="549" t="inlineStr">
        <is>
          <t>手机整机测试</t>
        </is>
      </c>
      <c r="I60" s="551" t="n">
        <v>45531</v>
      </c>
      <c r="J60" s="552" t="inlineStr">
        <is>
          <t>2024年9月2日
lastday</t>
        </is>
      </c>
      <c r="K60" s="551" t="inlineStr">
        <is>
          <t>短期三个月支撑</t>
        </is>
      </c>
      <c r="L60" s="553" t="n">
        <v>45536</v>
      </c>
      <c r="M60" s="549" t="inlineStr">
        <is>
          <t>南京</t>
        </is>
      </c>
      <c r="N60" s="549" t="inlineStr">
        <is>
          <t>南京</t>
        </is>
      </c>
      <c r="O60" s="554" t="n">
        <v>4800</v>
      </c>
      <c r="P60" s="554" t="n">
        <v>4800</v>
      </c>
      <c r="Q60" s="532" t="n">
        <v>0</v>
      </c>
      <c r="R60" s="532" t="n">
        <v>0</v>
      </c>
      <c r="S60" s="532" t="n">
        <v>0</v>
      </c>
      <c r="T60" s="550" t="inlineStr">
        <is>
          <t>第一次合同：3个月短期
2024/8/27-2024/11/26</t>
        </is>
      </c>
      <c r="U60" s="550" t="inlineStr">
        <is>
          <t>短期 无试用期</t>
        </is>
      </c>
      <c r="V60" s="549" t="inlineStr">
        <is>
          <t>测试工程师</t>
        </is>
      </c>
      <c r="W60" s="551" t="inlineStr">
        <is>
          <t>无材料</t>
        </is>
      </c>
      <c r="X60" s="549" t="inlineStr">
        <is>
          <t>本科</t>
        </is>
      </c>
      <c r="Y60" s="566" t="inlineStr">
        <is>
          <t>549446139@qq.com</t>
        </is>
      </c>
      <c r="Z60" s="549" t="inlineStr">
        <is>
          <t>江苏省南京市江宁区殷巷新寓229栋</t>
        </is>
      </c>
      <c r="AA60" s="549" t="inlineStr">
        <is>
          <t>江苏省南京市江宁区殷巷新高229幢</t>
        </is>
      </c>
      <c r="AB60" s="197" t="inlineStr">
        <is>
          <t>，15195957322</t>
        </is>
      </c>
      <c r="AC60" s="556" t="inlineStr">
        <is>
          <t>320121200006060513</t>
        </is>
      </c>
      <c r="AD60" s="556" t="inlineStr">
        <is>
          <t>6217001370059794610</t>
        </is>
      </c>
      <c r="AE60" s="549" t="inlineStr">
        <is>
          <t>中国建设银行</t>
        </is>
      </c>
      <c r="AG60" s="549" t="inlineStr">
        <is>
          <t>否</t>
        </is>
      </c>
      <c r="AH60" s="552" t="inlineStr">
        <is>
          <t>离职啦</t>
        </is>
      </c>
      <c r="AI60" s="82">
        <f>DATEDIF(--TEXT(MID(AC60,7,8),"0-00-00"),TODAY(),"y")</f>
        <v/>
      </c>
      <c r="AJ60" s="548">
        <f>TEXT(MID(AC60,7,8),"0000-00-00")</f>
        <v/>
      </c>
      <c r="AK60" s="95">
        <f>CHOOSE(MONTH(AJ60),1,1,1,2,2,2,3,3,3,4,4,4)</f>
        <v/>
      </c>
    </row>
    <row r="61" customFormat="1" s="549">
      <c r="A61" s="197" t="n">
        <v>59</v>
      </c>
      <c r="B61" s="550" t="inlineStr">
        <is>
          <t>弋臣臣
2024年9月3日已离职</t>
        </is>
      </c>
      <c r="C61" s="550" t="inlineStr">
        <is>
          <t>/</t>
        </is>
      </c>
      <c r="D61" s="549" t="inlineStr">
        <is>
          <t>男</t>
        </is>
      </c>
      <c r="E61" s="549" t="n">
        <v>16000</v>
      </c>
      <c r="F61" s="550" t="inlineStr">
        <is>
          <t>工资16k/不打折，最终按照18.3工资来
合同约定2024年12月31日结束  
无试用期 无其他补贴,无其他费用</t>
        </is>
      </c>
      <c r="G61" s="550" t="inlineStr">
        <is>
          <t>无材料没寄出</t>
        </is>
      </c>
      <c r="H61" s="549" t="inlineStr">
        <is>
          <t>实车验证</t>
        </is>
      </c>
      <c r="I61" s="551" t="n">
        <v>45532</v>
      </c>
      <c r="J61" s="552" t="inlineStr">
        <is>
          <t>2024年9月3日lastday</t>
        </is>
      </c>
      <c r="K61" s="552" t="inlineStr">
        <is>
          <t>短期4个月支撑
直接正式期</t>
        </is>
      </c>
      <c r="L61" s="553" t="inlineStr">
        <is>
          <t>没约定</t>
        </is>
      </c>
      <c r="M61" s="549" t="inlineStr">
        <is>
          <t>北京</t>
        </is>
      </c>
      <c r="N61" s="549" t="inlineStr">
        <is>
          <t>北京</t>
        </is>
      </c>
      <c r="O61" s="554" t="n">
        <v>16000</v>
      </c>
      <c r="P61" s="554" t="n">
        <v>16000</v>
      </c>
      <c r="Q61" s="532" t="n">
        <v>0</v>
      </c>
      <c r="R61" s="532" t="n">
        <v>0</v>
      </c>
      <c r="S61" s="532" t="n">
        <v>0</v>
      </c>
      <c r="T61" s="550" t="inlineStr">
        <is>
          <t>第一次合同：短期
2024.8.28-12.1日</t>
        </is>
      </c>
      <c r="U61" s="550" t="inlineStr">
        <is>
          <t>短期 无试用期</t>
        </is>
      </c>
      <c r="V61" s="549" t="inlineStr">
        <is>
          <t>无材料</t>
        </is>
      </c>
      <c r="W61" s="551" t="inlineStr">
        <is>
          <t>无材料</t>
        </is>
      </c>
      <c r="X61" s="549" t="inlineStr">
        <is>
          <t>无材料</t>
        </is>
      </c>
      <c r="Y61" s="557" t="inlineStr">
        <is>
          <t>y845898448@163.com</t>
        </is>
      </c>
      <c r="Z61" s="549" t="inlineStr">
        <is>
          <t>内蒙古丰镇市浑源窑乡石夭沟村35号</t>
        </is>
      </c>
      <c r="AA61" s="549" t="inlineStr">
        <is>
          <t>北京市昌平区南邵镇北郡嘉源7号楼2单元1103</t>
        </is>
      </c>
      <c r="AB61" s="197" t="n">
        <v>17614844469</v>
      </c>
      <c r="AC61" s="556" t="inlineStr">
        <is>
          <t>152628199611036171</t>
        </is>
      </c>
      <c r="AD61" s="556" t="inlineStr">
        <is>
          <t>6217000480001113461</t>
        </is>
      </c>
      <c r="AE61" s="549" t="inlineStr">
        <is>
          <t>中国建设银行</t>
        </is>
      </c>
      <c r="AF61" s="549" t="n"/>
      <c r="AG61" s="549" t="inlineStr">
        <is>
          <t>否</t>
        </is>
      </c>
      <c r="AH61" s="552" t="inlineStr">
        <is>
          <t>离职啦</t>
        </is>
      </c>
      <c r="AI61" s="82">
        <f>DATEDIF(--TEXT(MID(AC61,7,8),"0-00-00"),TODAY(),"y")</f>
        <v/>
      </c>
      <c r="AJ61" s="548">
        <f>TEXT(MID(AC61,7,8),"0000-00-00")</f>
        <v/>
      </c>
      <c r="AK61" s="95">
        <f>CHOOSE(MONTH(AJ61),1,1,1,2,2,2,3,3,3,4,4,4)</f>
        <v/>
      </c>
    </row>
    <row r="62" ht="119" customFormat="1" customHeight="1" s="532">
      <c r="A62" s="82" t="n">
        <v>28</v>
      </c>
      <c r="B62" s="541" t="inlineStr">
        <is>
          <t>田洪洋
2026/6/5lastday</t>
        </is>
      </c>
      <c r="C62" s="541" t="inlineStr">
        <is>
          <t>南京文石</t>
        </is>
      </c>
      <c r="D62" s="532" t="inlineStr">
        <is>
          <t>男</t>
        </is>
      </c>
      <c r="E62" s="532">
        <f>5000+300+200+500</f>
        <v/>
      </c>
      <c r="F62" s="541" t="inlineStr">
        <is>
          <t>5K不打折，2026年2月起工资变成6k元
短期员工转长期  录用周期3个月
2025/2月开始 工资+300  =5000+300=5300
后面罗把工资搞错了汪总说涨到了5500元，
后来汪总又说6000元一个月了</t>
        </is>
      </c>
      <c r="G62" s="541" t="inlineStr">
        <is>
          <t>材料齐全
已回寄员工</t>
        </is>
      </c>
      <c r="H62" s="532" t="inlineStr">
        <is>
          <t>手机整机测试</t>
        </is>
      </c>
      <c r="I62" s="533" t="n">
        <v>45544</v>
      </c>
      <c r="J62" s="547" t="inlineStr">
        <is>
          <t>2026/6/5lastday被项目释放。主要问题：
1、作为FDE任务安排混乱,没有管理意识
2、（更严重）协助组内人员日报作假,导致整体结算差异2万以上
lastday2026年6月5日
1、7.5发5.25-6.5十天薪资（考勤正常，无漏打卡调休请假）；之前的500元一起补上
2、所剩两天调休1:1折现，于7.5一起发放，已和田洪洋确认近期确实没有使用调休，如果客户确认下来＜两天需要退还，表示没问题
3、年假系统显示0.8天，按照1天给1:1折现，于7.5一起发放</t>
        </is>
      </c>
      <c r="K62" s="547" t="inlineStr">
        <is>
          <t>短期三个月支撑后转长期</t>
        </is>
      </c>
      <c r="L62" s="534" t="n">
        <v>45536</v>
      </c>
      <c r="M62" s="532" t="inlineStr">
        <is>
          <t>南京</t>
        </is>
      </c>
      <c r="N62" s="532" t="inlineStr">
        <is>
          <t>南京</t>
        </is>
      </c>
      <c r="O62" s="532" t="n">
        <v>5000</v>
      </c>
      <c r="P62" s="532" t="n">
        <v>5000</v>
      </c>
      <c r="Q62" s="532" t="n">
        <v>0</v>
      </c>
      <c r="R62" s="532" t="n">
        <v>0</v>
      </c>
      <c r="S62" s="532" t="n">
        <v>0</v>
      </c>
      <c r="T62" s="541" t="inlineStr">
        <is>
          <t>第一次合同：2-3个月短期
2024/9/9-2025/12/8</t>
        </is>
      </c>
      <c r="U62" s="541" t="inlineStr">
        <is>
          <t>短期 无试用期</t>
        </is>
      </c>
      <c r="V62" s="532" t="inlineStr">
        <is>
          <t>计算机科学与技术</t>
        </is>
      </c>
      <c r="W62" s="565" t="inlineStr">
        <is>
          <t>2024/6/1</t>
        </is>
      </c>
      <c r="X62" s="532" t="inlineStr">
        <is>
          <t>本科</t>
        </is>
      </c>
      <c r="Y62" s="545" t="inlineStr">
        <is>
          <t>1981694007@qq.com</t>
        </is>
      </c>
      <c r="Z62" s="532" t="inlineStr">
        <is>
          <t>贵州省凯里市迎宾大道大地春城5栋2004号</t>
        </is>
      </c>
      <c r="AA62" s="532" t="inlineStr">
        <is>
          <t>南京市建邺区双闸街道定康街40-67号紫金和寓2栋2单元3406号</t>
        </is>
      </c>
      <c r="AB62" s="82" t="inlineStr">
        <is>
          <t>’15885825250</t>
        </is>
      </c>
      <c r="AC62" s="546" t="inlineStr">
        <is>
          <t>522601200112200533</t>
        </is>
      </c>
      <c r="AD62" s="546" t="inlineStr">
        <is>
          <t>6217001310012561169</t>
        </is>
      </c>
      <c r="AE62" s="532" t="inlineStr">
        <is>
          <t>中国建设银行</t>
        </is>
      </c>
      <c r="AG62" s="532" t="inlineStr">
        <is>
          <t>是</t>
        </is>
      </c>
      <c r="AH62" s="547" t="inlineStr">
        <is>
          <t xml:space="preserve">第一次劳动合同：短期：2024/9/9-2024/12/9短期3个月
员工需要租房证明必须签署长期合同
第二次劳动合同：一年：2024/12/9-2025/12/8
目前已续签署一年合同，合同已给他
有个人离职证明未写日期
第三次劳动合同：1年：2025/12/09-2026/12/08
</t>
        </is>
      </c>
      <c r="AI62" s="82">
        <f>DATEDIF(--TEXT(MID(AC62,7,8),"0-00-00"),TODAY(),"y")</f>
        <v/>
      </c>
      <c r="AJ62" s="548">
        <f>TEXT(MID(AC62,7,8),"0000-00-00")</f>
        <v/>
      </c>
      <c r="AK62" s="95">
        <f>CHOOSE(MONTH(AJ62),1,1,1,2,2,2,3,3,3,4,4,4)</f>
        <v/>
      </c>
    </row>
    <row r="63" customFormat="1" s="549">
      <c r="A63" s="197" t="n">
        <v>61</v>
      </c>
      <c r="B63" s="550" t="inlineStr">
        <is>
          <t>张浩宇
（2024年11月8日已离职）</t>
        </is>
      </c>
      <c r="C63" s="550" t="inlineStr">
        <is>
          <t>/</t>
        </is>
      </c>
      <c r="D63" s="549" t="inlineStr">
        <is>
          <t>男</t>
        </is>
      </c>
      <c r="E63" s="549" t="n">
        <v>5500</v>
      </c>
      <c r="F63" s="550" t="inlineStr">
        <is>
          <t>5.5K不打折
短期员工
录用周期3个月</t>
        </is>
      </c>
      <c r="G63" s="550" t="inlineStr">
        <is>
          <t>材料齐全
已回寄员工</t>
        </is>
      </c>
      <c r="H63" s="549" t="inlineStr">
        <is>
          <t>手机整机测试</t>
        </is>
      </c>
      <c r="I63" s="551" t="n">
        <v>45544</v>
      </c>
      <c r="J63" s="552" t="inlineStr">
        <is>
          <t>（2024年11月8日离职，已发离职证明）</t>
        </is>
      </c>
      <c r="K63" s="552" t="inlineStr">
        <is>
          <t>短期三个月支撑</t>
        </is>
      </c>
      <c r="L63" s="553" t="n">
        <v>45536</v>
      </c>
      <c r="M63" s="549" t="inlineStr">
        <is>
          <t>南京</t>
        </is>
      </c>
      <c r="N63" s="549" t="inlineStr">
        <is>
          <t>南京</t>
        </is>
      </c>
      <c r="O63" s="554" t="n">
        <v>5500</v>
      </c>
      <c r="P63" s="554" t="n">
        <v>5500</v>
      </c>
      <c r="Q63" s="532" t="n">
        <v>0</v>
      </c>
      <c r="R63" s="532" t="n">
        <v>0</v>
      </c>
      <c r="S63" s="532" t="n">
        <v>0</v>
      </c>
      <c r="T63" s="550" t="inlineStr">
        <is>
          <t>第一次合同：2-3个月短期
2024/9/9-2024/12/8</t>
        </is>
      </c>
      <c r="U63" s="550" t="inlineStr">
        <is>
          <t>短期 无试用期</t>
        </is>
      </c>
      <c r="V63" s="549" t="inlineStr">
        <is>
          <t>计算机科学与技术</t>
        </is>
      </c>
      <c r="W63" s="564" t="inlineStr">
        <is>
          <t>2024/6/1</t>
        </is>
      </c>
      <c r="X63" s="549" t="inlineStr">
        <is>
          <t>本科</t>
        </is>
      </c>
      <c r="Y63" s="557" t="inlineStr">
        <is>
          <t>zhanghaoyu525418@163.com</t>
        </is>
      </c>
      <c r="Z63" s="549" t="inlineStr">
        <is>
          <t>江苏省沛县沛城歌风东路9号金地花园小区12号楼1单元602室</t>
        </is>
      </c>
      <c r="AA63" s="549" t="inlineStr">
        <is>
          <t>南京市浦口区浦东花园5栋1单元103</t>
        </is>
      </c>
      <c r="AB63" s="197" t="inlineStr">
        <is>
          <t>‘17826083517</t>
        </is>
      </c>
      <c r="AC63" s="556" t="inlineStr">
        <is>
          <t>320322200105257618</t>
        </is>
      </c>
      <c r="AD63" s="556" t="inlineStr">
        <is>
          <t>6215340302634541186</t>
        </is>
      </c>
      <c r="AE63" s="549" t="inlineStr">
        <is>
          <t>中国建设银行</t>
        </is>
      </c>
      <c r="AG63" s="549" t="inlineStr">
        <is>
          <t>否</t>
        </is>
      </c>
      <c r="AH63" s="552" t="inlineStr">
        <is>
          <t>离职啦</t>
        </is>
      </c>
      <c r="AI63" s="82">
        <f>DATEDIF(--TEXT(MID(AC63,7,8),"0-00-00"),TODAY(),"y")</f>
        <v/>
      </c>
      <c r="AJ63" s="548">
        <f>TEXT(MID(AC63,7,8),"0000-00-00")</f>
        <v/>
      </c>
      <c r="AK63" s="95">
        <f>CHOOSE(MONTH(AJ63),1,1,1,2,2,2,3,3,3,4,4,4)</f>
        <v/>
      </c>
    </row>
    <row r="64" customFormat="1" s="549">
      <c r="A64" s="197" t="n">
        <v>62</v>
      </c>
      <c r="B64" s="550" t="inlineStr">
        <is>
          <t>许海鹏
（2024年11月8日已离职）</t>
        </is>
      </c>
      <c r="C64" s="550" t="inlineStr">
        <is>
          <t>/</t>
        </is>
      </c>
      <c r="D64" s="549" t="inlineStr">
        <is>
          <t>男</t>
        </is>
      </c>
      <c r="E64" s="549" t="n">
        <v>5300</v>
      </c>
      <c r="F64" s="550" t="inlineStr">
        <is>
          <t>5.3K不打折
短期员工
录用周期3个月</t>
        </is>
      </c>
      <c r="G64" s="550" t="inlineStr">
        <is>
          <t>材料齐全
已回寄员工</t>
        </is>
      </c>
      <c r="H64" s="549" t="inlineStr">
        <is>
          <t>手机整机测试</t>
        </is>
      </c>
      <c r="I64" s="551" t="n">
        <v>45544</v>
      </c>
      <c r="J64" s="552" t="inlineStr">
        <is>
          <t>（2024年11月8日离职，已发离职证明）</t>
        </is>
      </c>
      <c r="K64" s="552" t="inlineStr">
        <is>
          <t>短期三个月支撑</t>
        </is>
      </c>
      <c r="L64" s="553" t="n">
        <v>45536</v>
      </c>
      <c r="M64" s="549" t="inlineStr">
        <is>
          <t>南京</t>
        </is>
      </c>
      <c r="N64" s="549" t="inlineStr">
        <is>
          <t>南京</t>
        </is>
      </c>
      <c r="O64" s="554" t="n">
        <v>5300</v>
      </c>
      <c r="P64" s="554" t="n">
        <v>5300</v>
      </c>
      <c r="Q64" s="532" t="n">
        <v>0</v>
      </c>
      <c r="R64" s="532" t="n">
        <v>0</v>
      </c>
      <c r="S64" s="532" t="n">
        <v>0</v>
      </c>
      <c r="T64" s="550" t="inlineStr">
        <is>
          <t>第一次合同：2-3个月短期
2024/9/9-2024/12/8</t>
        </is>
      </c>
      <c r="U64" s="550" t="inlineStr">
        <is>
          <t>短期 无试用期</t>
        </is>
      </c>
      <c r="V64" s="549" t="inlineStr">
        <is>
          <t>软件工程</t>
        </is>
      </c>
      <c r="W64" s="564" t="inlineStr">
        <is>
          <t>2024/6/30</t>
        </is>
      </c>
      <c r="X64" s="549" t="inlineStr">
        <is>
          <t>本科</t>
        </is>
      </c>
      <c r="Y64" s="557" t="inlineStr">
        <is>
          <t>2247197763@qq.com</t>
        </is>
      </c>
      <c r="Z64" s="550" t="inlineStr">
        <is>
          <t>江苏省南京市雨花台区凤宁路凤翔新城一期二栋三单元509</t>
        </is>
      </c>
      <c r="AA64" s="549" t="inlineStr">
        <is>
          <t>南京市雨花台区凤翔新城一期2号楼</t>
        </is>
      </c>
      <c r="AB64" s="197" t="inlineStr">
        <is>
          <t>‘17505212260</t>
        </is>
      </c>
      <c r="AC64" s="556" t="inlineStr">
        <is>
          <t>140524200004097416</t>
        </is>
      </c>
      <c r="AD64" s="556" t="inlineStr">
        <is>
          <t>6236680250000282931</t>
        </is>
      </c>
      <c r="AE64" s="549" t="inlineStr">
        <is>
          <t>中国建设银行</t>
        </is>
      </c>
      <c r="AG64" s="549" t="inlineStr">
        <is>
          <t>否</t>
        </is>
      </c>
      <c r="AH64" s="552" t="inlineStr">
        <is>
          <t>离职啦</t>
        </is>
      </c>
      <c r="AI64" s="82">
        <f>DATEDIF(--TEXT(MID(AC64,7,8),"0-00-00"),TODAY(),"y")</f>
        <v/>
      </c>
      <c r="AJ64" s="548">
        <f>TEXT(MID(AC64,7,8),"0000-00-00")</f>
        <v/>
      </c>
      <c r="AK64" s="95">
        <f>CHOOSE(MONTH(AJ64),1,1,1,2,2,2,3,3,3,4,4,4)</f>
        <v/>
      </c>
    </row>
    <row r="65" ht="155" customFormat="1" customHeight="1" s="549">
      <c r="A65" s="197" t="n">
        <v>32</v>
      </c>
      <c r="B65" s="550" t="inlineStr">
        <is>
          <t>夏春雷
（2025年12月24日已离职）</t>
        </is>
      </c>
      <c r="C65" s="550" t="inlineStr">
        <is>
          <t>南京文石</t>
        </is>
      </c>
      <c r="D65" s="549" t="inlineStr">
        <is>
          <t>男</t>
        </is>
      </c>
      <c r="E65" s="549" t="n">
        <v>26000</v>
      </c>
      <c r="F65" s="550" t="inlineStr">
        <is>
          <t>工资20800/26k,
长期项目签署3年合同，
前两个月打八折，第三个月可以申请不打折，报销飞机票，无其他补贴，无其他费用
（公积金基数1000，公司500 个人500）</t>
        </is>
      </c>
      <c r="G65" s="550" t="inlineStr">
        <is>
          <t>材料齐全
已回寄员工</t>
        </is>
      </c>
      <c r="H65" s="549" t="inlineStr">
        <is>
          <t>golang 后端开发工程师</t>
        </is>
      </c>
      <c r="I65" s="551" t="n">
        <v>45544</v>
      </c>
      <c r="J65" s="552" t="inlineStr">
        <is>
          <t>（2025年12月24日转地平线正岗位个人原因离职）</t>
        </is>
      </c>
      <c r="K65" s="552" t="inlineStr">
        <is>
          <t>2024/11/8转正工资
试用期时间6个月</t>
        </is>
      </c>
      <c r="L65" s="553" t="n">
        <v>45536</v>
      </c>
      <c r="M65" s="549" t="inlineStr">
        <is>
          <t>南京</t>
        </is>
      </c>
      <c r="N65" s="549" t="inlineStr">
        <is>
          <t>南京</t>
        </is>
      </c>
      <c r="O65" s="549" t="n">
        <v>20800</v>
      </c>
      <c r="P65" s="549" t="n">
        <v>26000</v>
      </c>
      <c r="Q65" s="567" t="n">
        <v>0</v>
      </c>
      <c r="R65" s="567" t="n">
        <v>0</v>
      </c>
      <c r="S65" s="567" t="n">
        <v>0</v>
      </c>
      <c r="T65" s="550" t="inlineStr">
        <is>
          <t xml:space="preserve">第一次合同：3年
2024/9/9-2027/9/8
</t>
        </is>
      </c>
      <c r="U65" s="550" t="inlineStr">
        <is>
          <t>试用期6个月
第3个月转正薪资</t>
        </is>
      </c>
      <c r="V65" s="549" t="inlineStr">
        <is>
          <t>物联网工程</t>
        </is>
      </c>
      <c r="W65" s="564" t="inlineStr">
        <is>
          <t>2018/7/1</t>
        </is>
      </c>
      <c r="X65" s="549" t="inlineStr">
        <is>
          <t>本科</t>
        </is>
      </c>
      <c r="Y65" s="566" t="inlineStr">
        <is>
          <t>619944431@qq.com</t>
        </is>
      </c>
      <c r="Z65" s="549" t="inlineStr">
        <is>
          <t>江苏省扬州市江都区大桥镇童兴村马家组19号</t>
        </is>
      </c>
      <c r="AA65" s="550" t="inlineStr">
        <is>
          <t>江苏省南京市栖霞区恒竞路与仙林路交汇处龙新世家花园4-1001
姓名:夏春雷
电话:13036688576</t>
        </is>
      </c>
      <c r="AB65" s="197" t="inlineStr">
        <is>
          <t>，13036688576</t>
        </is>
      </c>
      <c r="AC65" s="556" t="inlineStr">
        <is>
          <t>321088199604185915</t>
        </is>
      </c>
      <c r="AD65" s="556" t="inlineStr">
        <is>
          <t>6227001333090270270</t>
        </is>
      </c>
      <c r="AE65" s="549" t="inlineStr">
        <is>
          <t>中国建设银行</t>
        </is>
      </c>
      <c r="AG65" s="549" t="inlineStr">
        <is>
          <t>否</t>
        </is>
      </c>
      <c r="AH65" s="552" t="inlineStr">
        <is>
          <t>第一次劳动合同：3年：2024/9/9-2027/9/8
2025年12月24日个人离职转地平线正岗了</t>
        </is>
      </c>
      <c r="AI65" s="197">
        <f>DATEDIF(--TEXT(MID(AC65,7,8),"0-00-00"),TODAY(),"y")</f>
        <v/>
      </c>
      <c r="AJ65" s="568">
        <f>TEXT(MID(AC65,7,8),"0000-00-00")</f>
        <v/>
      </c>
      <c r="AK65" s="214">
        <f>CHOOSE(MONTH(AJ65),1,1,1,2,2,2,3,3,3,4,4,4)</f>
        <v/>
      </c>
    </row>
    <row r="66" customFormat="1" s="549">
      <c r="A66" s="197" t="n">
        <v>64</v>
      </c>
      <c r="B66" s="550" t="inlineStr">
        <is>
          <t>管小聪
（2024年10月23日已离职）</t>
        </is>
      </c>
      <c r="C66" s="550" t="inlineStr">
        <is>
          <t>/</t>
        </is>
      </c>
      <c r="D66" s="549" t="inlineStr">
        <is>
          <t>男</t>
        </is>
      </c>
      <c r="E66" s="549" t="n">
        <v>17000</v>
      </c>
      <c r="F66" s="550" t="inlineStr">
        <is>
          <t>工资13600/17k,
长期项目长期项目签署1年合同，前两个月打八折，第三个月可以申请不打折，无其他补贴，无其他费用</t>
        </is>
      </c>
      <c r="G66" s="550" t="inlineStr">
        <is>
          <t>材料齐全
已回寄员工</t>
        </is>
      </c>
      <c r="H66" s="550" t="inlineStr">
        <is>
          <t>自动驾驶
实车系统验证工程师</t>
        </is>
      </c>
      <c r="I66" s="551" t="n">
        <v>45546</v>
      </c>
      <c r="J66" s="552" t="inlineStr">
        <is>
          <t>（2024年10月23日lastday）</t>
        </is>
      </c>
      <c r="K66" s="552" t="inlineStr">
        <is>
          <t>2024/12/10转正工资
试用期时间3个月</t>
        </is>
      </c>
      <c r="L66" s="553" t="n">
        <v>45536</v>
      </c>
      <c r="M66" s="549" t="inlineStr">
        <is>
          <t>上海</t>
        </is>
      </c>
      <c r="N66" s="549" t="inlineStr">
        <is>
          <t>上海</t>
        </is>
      </c>
      <c r="O66" s="554" t="n">
        <v>13600</v>
      </c>
      <c r="P66" s="554" t="n">
        <v>17000</v>
      </c>
      <c r="Q66" s="532" t="n">
        <v>0</v>
      </c>
      <c r="R66" s="532" t="n">
        <v>0</v>
      </c>
      <c r="S66" s="532" t="n">
        <v>0</v>
      </c>
      <c r="T66" s="550" t="inlineStr">
        <is>
          <t xml:space="preserve">第一次合同：1年
2024/9/11-2025/9/10
</t>
        </is>
      </c>
      <c r="U66" s="550" t="inlineStr">
        <is>
          <t>试用期3个月
第3个月转正薪资</t>
        </is>
      </c>
      <c r="V66" s="549" t="inlineStr">
        <is>
          <t>计算机科学与技术</t>
        </is>
      </c>
      <c r="W66" s="564" t="inlineStr">
        <is>
          <t>2014/7/2</t>
        </is>
      </c>
      <c r="X66" s="549" t="inlineStr">
        <is>
          <t>本科</t>
        </is>
      </c>
      <c r="Y66" s="566" t="inlineStr">
        <is>
          <t>375029355@qq.com</t>
        </is>
      </c>
      <c r="Z66" s="549" t="inlineStr">
        <is>
          <t>湖北省孝感市云梦县吴铺镇何店村二组</t>
        </is>
      </c>
      <c r="AA66" s="549" t="inlineStr">
        <is>
          <t>江苏省苏州市昆山市花桥镇光明路博富科技大厦3号楼915</t>
        </is>
      </c>
      <c r="AB66" s="197" t="inlineStr">
        <is>
          <t>,13291099552</t>
        </is>
      </c>
      <c r="AC66" s="556" t="inlineStr">
        <is>
          <t>420923199001063533</t>
        </is>
      </c>
      <c r="AD66" s="556" t="inlineStr">
        <is>
          <t>6214662720241757</t>
        </is>
      </c>
      <c r="AE66" s="549" t="inlineStr">
        <is>
          <t>中国建设银行</t>
        </is>
      </c>
      <c r="AG66" s="549" t="inlineStr">
        <is>
          <t>否</t>
        </is>
      </c>
      <c r="AH66" s="552" t="inlineStr">
        <is>
          <t>离职啦</t>
        </is>
      </c>
      <c r="AI66" s="82">
        <f>DATEDIF(--TEXT(MID(AC66,7,8),"0-00-00"),TODAY(),"y")</f>
        <v/>
      </c>
      <c r="AJ66" s="548">
        <f>TEXT(MID(AC66,7,8),"0000-00-00")</f>
        <v/>
      </c>
      <c r="AK66" s="95">
        <f>CHOOSE(MONTH(AJ66),1,1,1,2,2,2,3,3,3,4,4,4)</f>
        <v/>
      </c>
    </row>
    <row r="67" ht="144" customFormat="1" customHeight="1" s="532">
      <c r="A67" s="82" t="n">
        <v>29</v>
      </c>
      <c r="B67" s="541" t="inlineStr">
        <is>
          <t>仲秀秀
lastday确认2026/5/22</t>
        </is>
      </c>
      <c r="C67" s="541" t="inlineStr">
        <is>
          <t>上海文石</t>
        </is>
      </c>
      <c r="D67" s="532" t="inlineStr">
        <is>
          <t>女</t>
        </is>
      </c>
      <c r="E67" s="532" t="n">
        <v>16000</v>
      </c>
      <c r="F67" s="541" t="inlineStr">
        <is>
          <t>工资12800/16000
前三个月8折
无其他补贴，无其他费用
仲秀秀从24年12月开始公积金基数调高到16000元，公积金基数16000，公司承担688</t>
        </is>
      </c>
      <c r="G67" s="541" t="inlineStr">
        <is>
          <t>材料齐全
已回寄员工</t>
        </is>
      </c>
      <c r="H67" s="532" t="inlineStr">
        <is>
          <t>行政运营</t>
        </is>
      </c>
      <c r="I67" s="533" t="n">
        <v>45546</v>
      </c>
      <c r="J67" s="547" t="n">
        <v>46164</v>
      </c>
      <c r="K67" s="547" t="n">
        <v>45636</v>
      </c>
      <c r="L67" s="534" t="n">
        <v>45536</v>
      </c>
      <c r="M67" s="532" t="inlineStr">
        <is>
          <t>上海</t>
        </is>
      </c>
      <c r="N67" s="532" t="inlineStr">
        <is>
          <t>上海</t>
        </is>
      </c>
      <c r="O67" s="532" t="n">
        <v>12800</v>
      </c>
      <c r="P67" s="532" t="n">
        <v>16000</v>
      </c>
      <c r="Q67" s="532" t="n">
        <v>0</v>
      </c>
      <c r="R67" s="532" t="n">
        <v>0</v>
      </c>
      <c r="S67" s="532" t="n">
        <v>0</v>
      </c>
      <c r="T67" s="218" t="inlineStr">
        <is>
          <t>第一次劳动合同：1年：2024/9/11-2025/9/10
第二次劳动合同：3年：2025/9/11-2028/9/10</t>
        </is>
      </c>
      <c r="U67" s="82" t="inlineStr">
        <is>
          <t>3个月</t>
        </is>
      </c>
      <c r="V67" s="532" t="inlineStr">
        <is>
          <t>汉语言文学</t>
        </is>
      </c>
      <c r="W67" s="565" t="inlineStr">
        <is>
          <t>2017/6</t>
        </is>
      </c>
      <c r="X67" s="532" t="inlineStr">
        <is>
          <t>本科</t>
        </is>
      </c>
      <c r="Y67" s="569" t="inlineStr">
        <is>
          <t>2718466302@qq.com</t>
        </is>
      </c>
      <c r="Z67" s="532" t="inlineStr">
        <is>
          <t>江苏省连云港市赣榆区石桥镇唐沟村二队498号</t>
        </is>
      </c>
      <c r="AA67" s="541" t="inlineStr">
        <is>
          <t>上海市浦东新区中科
路2660弄川杨新苑四期6号502室</t>
        </is>
      </c>
      <c r="AB67" s="82" t="n">
        <v>15151217397</v>
      </c>
      <c r="AC67" s="546" t="inlineStr">
        <is>
          <t>320721199502015428</t>
        </is>
      </c>
      <c r="AD67" s="546" t="inlineStr">
        <is>
          <t>6215340302634997008</t>
        </is>
      </c>
      <c r="AE67" s="532" t="inlineStr">
        <is>
          <t>中国建设银行</t>
        </is>
      </c>
      <c r="AG67" s="532" t="inlineStr">
        <is>
          <t>是</t>
        </is>
      </c>
      <c r="AH67" s="547" t="inlineStr">
        <is>
          <t>第一次劳动合同：1年：2024/9/11-2025/9/10
第二次劳动合同：3年：2025/9/11-2028/9/10</t>
        </is>
      </c>
      <c r="AI67" s="82">
        <f>DATEDIF(--TEXT(MID(AC67,7,8),"0-00-00"),TODAY(),"y")</f>
        <v/>
      </c>
      <c r="AJ67" s="548">
        <f>TEXT(MID(AC67,7,8),"0000-00-00")</f>
        <v/>
      </c>
      <c r="AK67" s="95">
        <f>CHOOSE(MONTH(AJ67),1,1,1,2,2,2,3,3,3,4,4,4)</f>
        <v/>
      </c>
    </row>
    <row r="68" customFormat="1" s="549">
      <c r="A68" s="197" t="n">
        <v>66</v>
      </c>
      <c r="B68" s="550" t="inlineStr">
        <is>
          <t>关刘闯
（放弃入职）</t>
        </is>
      </c>
      <c r="C68" s="550" t="inlineStr">
        <is>
          <t>/</t>
        </is>
      </c>
      <c r="D68" s="549" t="inlineStr">
        <is>
          <t>男</t>
        </is>
      </c>
      <c r="E68" s="549" t="n">
        <v>11000</v>
      </c>
      <c r="F68" s="550" t="inlineStr">
        <is>
          <t>工资11K,短期项目三个月支撑    无试用期 无其他补贴，无其他费用</t>
        </is>
      </c>
      <c r="G68" s="549" t="inlineStr">
        <is>
          <t>/</t>
        </is>
      </c>
      <c r="H68" s="550" t="inlineStr">
        <is>
          <t>自动驾驶实车系统验证工程师 
关刘闯知道是短期三个月左右的</t>
        </is>
      </c>
      <c r="I68" s="551" t="n">
        <v>45553</v>
      </c>
      <c r="J68" s="551" t="inlineStr">
        <is>
          <t>放弃入职</t>
        </is>
      </c>
      <c r="K68" s="551" t="inlineStr">
        <is>
          <t>/</t>
        </is>
      </c>
      <c r="L68" s="553" t="inlineStr">
        <is>
          <t>/</t>
        </is>
      </c>
      <c r="M68" s="549" t="inlineStr">
        <is>
          <t>上海</t>
        </is>
      </c>
      <c r="N68" s="549" t="inlineStr">
        <is>
          <t>上海</t>
        </is>
      </c>
      <c r="O68" s="554" t="inlineStr">
        <is>
          <t>/</t>
        </is>
      </c>
      <c r="P68" s="554" t="inlineStr">
        <is>
          <t>/</t>
        </is>
      </c>
      <c r="Q68" s="532" t="n">
        <v>0</v>
      </c>
      <c r="R68" s="532" t="n">
        <v>0</v>
      </c>
      <c r="S68" s="532" t="n">
        <v>0</v>
      </c>
      <c r="T68" s="549" t="inlineStr">
        <is>
          <t>/</t>
        </is>
      </c>
      <c r="U68" s="549" t="inlineStr">
        <is>
          <t>/</t>
        </is>
      </c>
      <c r="V68" s="549" t="inlineStr">
        <is>
          <t>/</t>
        </is>
      </c>
      <c r="W68" s="551" t="inlineStr">
        <is>
          <t>/</t>
        </is>
      </c>
      <c r="X68" s="549" t="inlineStr">
        <is>
          <t>/</t>
        </is>
      </c>
      <c r="Y68" s="566" t="inlineStr">
        <is>
          <t>15899783712@163.com</t>
        </is>
      </c>
      <c r="Z68" s="549" t="inlineStr">
        <is>
          <t>/</t>
        </is>
      </c>
      <c r="AA68" s="549" t="inlineStr">
        <is>
          <t>/</t>
        </is>
      </c>
      <c r="AB68" s="197" t="inlineStr">
        <is>
          <t>，15899783712</t>
        </is>
      </c>
      <c r="AC68" s="556" t="inlineStr">
        <is>
          <t>411381200011196773</t>
        </is>
      </c>
      <c r="AD68" s="549" t="inlineStr">
        <is>
          <t>/</t>
        </is>
      </c>
      <c r="AE68" s="549" t="inlineStr">
        <is>
          <t>/</t>
        </is>
      </c>
      <c r="AG68" s="549" t="inlineStr">
        <is>
          <t>否</t>
        </is>
      </c>
      <c r="AH68" s="552" t="inlineStr">
        <is>
          <t>离职啦</t>
        </is>
      </c>
      <c r="AI68" s="82">
        <f>DATEDIF(--TEXT(MID(AC68,7,8),"0-00-00"),TODAY(),"y")</f>
        <v/>
      </c>
      <c r="AJ68" s="548">
        <f>TEXT(MID(AC68,7,8),"0000-00-00")</f>
        <v/>
      </c>
      <c r="AK68" s="95">
        <f>CHOOSE(MONTH(AJ68),1,1,1,2,2,2,3,3,3,4,4,4)</f>
        <v/>
      </c>
    </row>
    <row r="69" customFormat="1" s="549">
      <c r="A69" s="197" t="n">
        <v>67</v>
      </c>
      <c r="B69" s="550" t="inlineStr">
        <is>
          <t>杨春艳
（2024.12.13日已离职）</t>
        </is>
      </c>
      <c r="C69" s="550" t="inlineStr">
        <is>
          <t>/</t>
        </is>
      </c>
      <c r="D69" s="549" t="inlineStr">
        <is>
          <t>女</t>
        </is>
      </c>
      <c r="E69" s="549" t="n">
        <v>4500</v>
      </c>
      <c r="F69" s="550" t="inlineStr">
        <is>
          <t>工资4.5k短期项目三个月支撑                      
无试用期 无其他补贴,无其他费用
员工要求不缴纳社保 要考公</t>
        </is>
      </c>
      <c r="G69" s="550" t="inlineStr">
        <is>
          <t>材料齐全
未回寄员工</t>
        </is>
      </c>
      <c r="H69" s="549" t="inlineStr">
        <is>
          <t>手机整机测试</t>
        </is>
      </c>
      <c r="I69" s="551" t="n">
        <v>45553</v>
      </c>
      <c r="J69" s="552" t="inlineStr">
        <is>
          <t>2024.12.13日lastday</t>
        </is>
      </c>
      <c r="K69" s="552" t="inlineStr">
        <is>
          <t>短期2-3个月支撑</t>
        </is>
      </c>
      <c r="L69" s="553" t="n">
        <v>45566</v>
      </c>
      <c r="M69" s="549" t="inlineStr">
        <is>
          <t>南京</t>
        </is>
      </c>
      <c r="N69" s="549" t="inlineStr">
        <is>
          <t>南京</t>
        </is>
      </c>
      <c r="O69" s="554" t="n">
        <v>4500</v>
      </c>
      <c r="P69" s="554" t="n">
        <v>4500</v>
      </c>
      <c r="Q69" s="532" t="n">
        <v>0</v>
      </c>
      <c r="R69" s="532" t="n">
        <v>0</v>
      </c>
      <c r="S69" s="532" t="n">
        <v>0</v>
      </c>
      <c r="T69" s="550" t="inlineStr">
        <is>
          <t>第一次合同：短期2-3个月支撑
2024/9/18-2024/12/13</t>
        </is>
      </c>
      <c r="U69" s="550" t="inlineStr">
        <is>
          <t>短期 无试用期</t>
        </is>
      </c>
      <c r="V69" s="549" t="inlineStr">
        <is>
          <t>?</t>
        </is>
      </c>
      <c r="W69" s="551" t="inlineStr">
        <is>
          <t>?</t>
        </is>
      </c>
      <c r="X69" s="549" t="inlineStr">
        <is>
          <t>?</t>
        </is>
      </c>
      <c r="Y69" s="566" t="inlineStr">
        <is>
          <t>2229243860@qq.com</t>
        </is>
      </c>
      <c r="Z69" s="549" t="inlineStr">
        <is>
          <t>河南省虞城县杜集镇叶店村415号</t>
        </is>
      </c>
      <c r="AA69" s="549" t="inlineStr">
        <is>
          <t>江苏省南京市雨花台区春江新城二期龙泉坊6栋2单元601室</t>
        </is>
      </c>
      <c r="AB69" s="197" t="inlineStr">
        <is>
          <t>，13462709562</t>
        </is>
      </c>
      <c r="AC69" s="556" t="inlineStr">
        <is>
          <t>411425200103031823</t>
        </is>
      </c>
      <c r="AD69" s="556" t="inlineStr">
        <is>
          <t>6215340301441963864</t>
        </is>
      </c>
      <c r="AE69" s="549" t="inlineStr">
        <is>
          <t>中国建设银行</t>
        </is>
      </c>
      <c r="AG69" s="549" t="inlineStr">
        <is>
          <t>否</t>
        </is>
      </c>
      <c r="AH69" s="552" t="inlineStr">
        <is>
          <t>离职啦</t>
        </is>
      </c>
      <c r="AI69" s="82">
        <f>DATEDIF(--TEXT(MID(AC69,7,8),"0-00-00"),TODAY(),"y")</f>
        <v/>
      </c>
      <c r="AJ69" s="548">
        <f>TEXT(MID(AC69,7,8),"0000-00-00")</f>
        <v/>
      </c>
      <c r="AK69" s="95">
        <f>CHOOSE(MONTH(AJ69),1,1,1,2,2,2,3,3,3,4,4,4)</f>
        <v/>
      </c>
    </row>
    <row r="70" customFormat="1" s="549">
      <c r="A70" s="197" t="n">
        <v>68</v>
      </c>
      <c r="B70" s="550" t="inlineStr">
        <is>
          <t>赵如歌
（2024.5.9日已离职）</t>
        </is>
      </c>
      <c r="C70" s="550" t="inlineStr">
        <is>
          <t>/</t>
        </is>
      </c>
      <c r="D70" s="549" t="inlineStr">
        <is>
          <t>男</t>
        </is>
      </c>
      <c r="E70" s="549" t="n">
        <v>10000</v>
      </c>
      <c r="F70" s="550" t="inlineStr">
        <is>
          <t>工资8k/10k 
前三个月8折
无其他补贴，无其他费用，</t>
        </is>
      </c>
      <c r="G70" s="550" t="inlineStr">
        <is>
          <t>材料齐全
已回寄员工</t>
        </is>
      </c>
      <c r="H70" s="550" t="inlineStr">
        <is>
          <t>QNX测试工程师</t>
        </is>
      </c>
      <c r="I70" s="551" t="n">
        <v>45553</v>
      </c>
      <c r="J70" s="552" t="inlineStr">
        <is>
          <t>赵如歌:项目lastday定5月9号,
文石工资发到24号,同时缴纳5月份的五险一金</t>
        </is>
      </c>
      <c r="K70" s="552" t="inlineStr">
        <is>
          <t>2024/12/17转正工资
试用期时间3个月</t>
        </is>
      </c>
      <c r="L70" s="553" t="n">
        <v>45566</v>
      </c>
      <c r="M70" s="549" t="inlineStr">
        <is>
          <t>南京</t>
        </is>
      </c>
      <c r="N70" s="549" t="inlineStr">
        <is>
          <t>南京</t>
        </is>
      </c>
      <c r="O70" s="554" t="n">
        <v>8000</v>
      </c>
      <c r="P70" s="554" t="n">
        <v>10000</v>
      </c>
      <c r="Q70" s="532" t="n">
        <v>0</v>
      </c>
      <c r="R70" s="532" t="n">
        <v>0</v>
      </c>
      <c r="S70" s="532" t="n">
        <v>0</v>
      </c>
      <c r="T70" s="550" t="inlineStr">
        <is>
          <t xml:space="preserve">第一次合同：1年
2024/9/18-2025/9/17
</t>
        </is>
      </c>
      <c r="U70" s="549" t="inlineStr">
        <is>
          <t>6个月</t>
        </is>
      </c>
      <c r="V70" s="549" t="inlineStr">
        <is>
          <t>计算机科学与技术</t>
        </is>
      </c>
      <c r="W70" s="551" t="n">
        <v>45078</v>
      </c>
      <c r="X70" s="549" t="inlineStr">
        <is>
          <t>本科</t>
        </is>
      </c>
      <c r="Y70" s="549" t="inlineStr">
        <is>
          <t>ostrich177@163.com</t>
        </is>
      </c>
      <c r="Z70" s="549" t="inlineStr">
        <is>
          <t>安徽省铜陵市郊区普济圩建新二区路东5号105室</t>
        </is>
      </c>
      <c r="AA70" s="550" t="inlineStr">
        <is>
          <t>收件人: 赵如歌
手机号码: 18019521820
所在地区: 江苏省南京市浦口区泰山街道
详细地址: 文景路99号龙湖北宸星座5幢</t>
        </is>
      </c>
      <c r="AB70" s="197" t="inlineStr">
        <is>
          <t>‘18019521820</t>
        </is>
      </c>
      <c r="AC70" s="556" t="inlineStr">
        <is>
          <t>340222200003300513</t>
        </is>
      </c>
      <c r="AD70" s="556" t="inlineStr">
        <is>
          <t>6217001630047999856</t>
        </is>
      </c>
      <c r="AE70" s="549" t="inlineStr">
        <is>
          <t>中国建设银行</t>
        </is>
      </c>
      <c r="AG70" s="549" t="inlineStr">
        <is>
          <t>否</t>
        </is>
      </c>
      <c r="AH70" s="552" t="inlineStr">
        <is>
          <t>离职啦</t>
        </is>
      </c>
      <c r="AI70" s="82">
        <f>DATEDIF(--TEXT(MID(AC70,7,8),"0-00-00"),TODAY(),"y")</f>
        <v/>
      </c>
      <c r="AJ70" s="548">
        <f>TEXT(MID(AC70,7,8),"0000-00-00")</f>
        <v/>
      </c>
      <c r="AK70" s="95">
        <f>CHOOSE(MONTH(AJ70),1,1,1,2,2,2,3,3,3,4,4,4)</f>
        <v/>
      </c>
    </row>
    <row r="71" customFormat="1" s="532">
      <c r="A71" s="82" t="n">
        <v>30</v>
      </c>
      <c r="B71" s="532" t="inlineStr">
        <is>
          <t>李法龙</t>
        </is>
      </c>
      <c r="C71" s="532" t="inlineStr">
        <is>
          <t>南京文石</t>
        </is>
      </c>
      <c r="D71" s="532" t="inlineStr">
        <is>
          <t>男</t>
        </is>
      </c>
      <c r="E71" s="532" t="n">
        <v>20000</v>
      </c>
      <c r="F71" s="541" t="inlineStr">
        <is>
          <t>工资16k/20K,前三个月8折
无其他补贴，无其他费用</t>
        </is>
      </c>
      <c r="G71" s="541" t="inlineStr">
        <is>
          <t>材料齐全
已回寄员工
李法龙是8个月到1年沟通的
已签署8个月左右的合同，20251224转长期了
已同意续签 2025.5.17-2025年12月底的合同，PS:合同上写12月左右，写“活”一点</t>
        </is>
      </c>
      <c r="H71" s="541" t="inlineStr">
        <is>
          <t>QNX测试工程师</t>
        </is>
      </c>
      <c r="I71" s="533" t="n">
        <v>45553</v>
      </c>
      <c r="J71" s="547" t="inlineStr">
        <is>
          <t>/</t>
        </is>
      </c>
      <c r="K71" s="547" t="inlineStr">
        <is>
          <t>2024/12/17转正工资
试用期时间3个月</t>
        </is>
      </c>
      <c r="L71" s="534" t="n">
        <v>45566</v>
      </c>
      <c r="M71" s="532" t="inlineStr">
        <is>
          <t>南京</t>
        </is>
      </c>
      <c r="N71" s="532" t="inlineStr">
        <is>
          <t>南京</t>
        </is>
      </c>
      <c r="O71" s="532" t="n">
        <v>16000</v>
      </c>
      <c r="P71" s="532" t="n">
        <v>20000</v>
      </c>
      <c r="Q71" s="532" t="n">
        <v>0</v>
      </c>
      <c r="R71" s="532" t="n">
        <v>0</v>
      </c>
      <c r="S71" s="532" t="n">
        <v>0</v>
      </c>
      <c r="T71" s="541" t="inlineStr">
        <is>
          <t>第一次合同：短期8个月：2024/9/18-2025/5/17短期
第二次劳动合同：短期项目制：2025/5/17-2025年年底已续签短期</t>
        </is>
      </c>
      <c r="U71" s="532" t="inlineStr">
        <is>
          <t>6个月</t>
        </is>
      </c>
      <c r="V71" s="532" t="inlineStr">
        <is>
          <t>软件工程技术</t>
        </is>
      </c>
      <c r="W71" s="533" t="n">
        <v>43253</v>
      </c>
      <c r="X71" s="532" t="inlineStr">
        <is>
          <t>大专</t>
        </is>
      </c>
      <c r="Y71" s="532" t="inlineStr">
        <is>
          <t>185562411@qq.com</t>
        </is>
      </c>
      <c r="Z71" s="532" t="inlineStr">
        <is>
          <t>江苏省睢宁县古邳镇下邳村513号</t>
        </is>
      </c>
      <c r="AA71" s="541" t="inlineStr">
        <is>
          <t>南京市栖霞区红枫科技园13栋6楼602
江苏省镇江市句容市仙林东路6号仙林悦城2期2栋2408</t>
        </is>
      </c>
      <c r="AB71" s="82" t="inlineStr">
        <is>
          <t>‘19352471619</t>
        </is>
      </c>
      <c r="AC71" s="546" t="inlineStr">
        <is>
          <t>320324199108081619</t>
        </is>
      </c>
      <c r="AD71" s="546" t="inlineStr">
        <is>
          <t>6217001370056405475</t>
        </is>
      </c>
      <c r="AE71" s="532" t="inlineStr">
        <is>
          <t>中国建设银行</t>
        </is>
      </c>
      <c r="AG71" s="532" t="inlineStr">
        <is>
          <t>是</t>
        </is>
      </c>
      <c r="AH71" s="547" t="inlineStr">
        <is>
          <t>第一次劳动合同：短期8个月：2024/9/18-2025/5/17短期
第二次劳动合同：短期项目制：2025/5/17-2025年年底已续签短期，合同上写12月左右，写“活”一点
第三次劳动合同：转长期三年了2025/12/18 - 2028/12/17</t>
        </is>
      </c>
      <c r="AI71" s="82">
        <f>DATEDIF(--TEXT(MID(AC71,7,8),"0-00-00"),TODAY(),"y")</f>
        <v/>
      </c>
      <c r="AJ71" s="548">
        <f>TEXT(MID(AC71,7,8),"0000-00-00")</f>
        <v/>
      </c>
      <c r="AK71" s="95">
        <f>CHOOSE(MONTH(AJ71),1,1,1,2,2,2,3,3,3,4,4,4)</f>
        <v/>
      </c>
    </row>
    <row r="72" customFormat="1" s="549">
      <c r="A72" s="197" t="n">
        <v>70</v>
      </c>
      <c r="B72" s="550" t="inlineStr">
        <is>
          <t>刘学洋
（（2024年10月21日已离职））</t>
        </is>
      </c>
      <c r="C72" s="550" t="inlineStr">
        <is>
          <t>/</t>
        </is>
      </c>
      <c r="D72" s="549" t="inlineStr">
        <is>
          <t>男</t>
        </is>
      </c>
      <c r="E72" s="549" t="n">
        <v>12000</v>
      </c>
      <c r="F72" s="550" t="inlineStr">
        <is>
          <t>工资：12k不打折,
短期4个月左右的合同
无其他补贴，无其他费用</t>
        </is>
      </c>
      <c r="G72" s="550" t="inlineStr">
        <is>
          <t>材料齐全
已回寄员工
（2024年10月21日lastday）</t>
        </is>
      </c>
      <c r="H72" s="549" t="inlineStr">
        <is>
          <t>自动驾驶实车系统验证工程师</t>
        </is>
      </c>
      <c r="I72" s="551" t="n">
        <v>45553</v>
      </c>
      <c r="J72" s="552" t="inlineStr">
        <is>
          <t>（2024年10月21日lastday）</t>
        </is>
      </c>
      <c r="K72" s="552" t="inlineStr">
        <is>
          <t>短期4个月支撑
无试用期</t>
        </is>
      </c>
      <c r="L72" s="553" t="n">
        <v>45566</v>
      </c>
      <c r="M72" s="549" t="inlineStr">
        <is>
          <t>北京</t>
        </is>
      </c>
      <c r="N72" s="549" t="inlineStr">
        <is>
          <t>北京</t>
        </is>
      </c>
      <c r="O72" s="554" t="n">
        <v>12000</v>
      </c>
      <c r="P72" s="554" t="n">
        <v>12000</v>
      </c>
      <c r="Q72" s="532" t="n">
        <v>0</v>
      </c>
      <c r="R72" s="532" t="n">
        <v>0</v>
      </c>
      <c r="S72" s="532" t="n">
        <v>0</v>
      </c>
      <c r="T72" s="550" t="inlineStr">
        <is>
          <t>第一次合同：短期4个月支撑
2024/9/18-2024/12/13</t>
        </is>
      </c>
      <c r="U72" s="549" t="inlineStr">
        <is>
          <t>0个月</t>
        </is>
      </c>
      <c r="V72" s="549" t="inlineStr">
        <is>
          <t>计算机应用技术</t>
        </is>
      </c>
      <c r="W72" s="551" t="n">
        <v>44350</v>
      </c>
      <c r="X72" s="549" t="inlineStr">
        <is>
          <t>大专</t>
        </is>
      </c>
      <c r="Y72" s="549" t="inlineStr">
        <is>
          <t>xueyang_liu@163.com</t>
        </is>
      </c>
      <c r="Z72" s="549" t="inlineStr">
        <is>
          <t>河北省高碑店市高二村货场路32号</t>
        </is>
      </c>
      <c r="AA72" s="549" t="inlineStr">
        <is>
          <t>河北省高碑店市高二村货场路32号</t>
        </is>
      </c>
      <c r="AB72" s="197" t="inlineStr">
        <is>
          <t>‘13663245780</t>
        </is>
      </c>
      <c r="AC72" s="556" t="inlineStr">
        <is>
          <t>130684200004100371</t>
        </is>
      </c>
      <c r="AD72" s="556" t="inlineStr">
        <is>
          <t>6217000140038155618</t>
        </is>
      </c>
      <c r="AE72" s="549" t="inlineStr">
        <is>
          <t>中国建设银行</t>
        </is>
      </c>
      <c r="AG72" s="549" t="inlineStr">
        <is>
          <t>否</t>
        </is>
      </c>
      <c r="AH72" s="552" t="inlineStr">
        <is>
          <t>离职啦</t>
        </is>
      </c>
      <c r="AI72" s="82">
        <f>DATEDIF(--TEXT(MID(AC72,7,8),"0-00-00"),TODAY(),"y")</f>
        <v/>
      </c>
      <c r="AJ72" s="548">
        <f>TEXT(MID(AC72,7,8),"0000-00-00")</f>
        <v/>
      </c>
      <c r="AK72" s="95">
        <f>CHOOSE(MONTH(AJ72),1,1,1,2,2,2,3,3,3,4,4,4)</f>
        <v/>
      </c>
    </row>
    <row r="73" customFormat="1" s="549">
      <c r="A73" s="197" t="n">
        <v>35</v>
      </c>
      <c r="B73" s="550" t="inlineStr">
        <is>
          <t>石钰霞
（2025.7.24日已离职）</t>
        </is>
      </c>
      <c r="C73" s="550" t="inlineStr">
        <is>
          <t>/</t>
        </is>
      </c>
      <c r="D73" s="549" t="inlineStr">
        <is>
          <t>女</t>
        </is>
      </c>
      <c r="E73" s="549" t="n">
        <v>11500</v>
      </c>
      <c r="F73" s="550" t="inlineStr">
        <is>
          <t>工资：9200/11.5K
前三个月8折
无其他补贴，无其他费用
已和TS谈好3年合同</t>
        </is>
      </c>
      <c r="G73" s="549" t="inlineStr">
        <is>
          <t>材料齐全
已回寄员工</t>
        </is>
      </c>
      <c r="H73" s="549" t="inlineStr">
        <is>
          <t>税务专员</t>
        </is>
      </c>
      <c r="I73" s="552" t="inlineStr">
        <is>
          <t>2024年9月18日入职，
合同签署是2024.9.30
因为上家离职证明原因</t>
        </is>
      </c>
      <c r="J73" s="552" t="inlineStr">
        <is>
          <t>2025.7.24日lastday主动离职因为
转合同主体</t>
        </is>
      </c>
      <c r="K73" s="552" t="inlineStr">
        <is>
          <t>2024/12/17开始转正工资
试用期时间6个月</t>
        </is>
      </c>
      <c r="L73" s="553" t="n">
        <v>45566</v>
      </c>
      <c r="M73" s="549" t="inlineStr">
        <is>
          <t>北京</t>
        </is>
      </c>
      <c r="N73" s="549" t="inlineStr">
        <is>
          <t>北京</t>
        </is>
      </c>
      <c r="O73" s="554" t="n">
        <v>9200</v>
      </c>
      <c r="P73" s="554" t="n">
        <v>11500</v>
      </c>
      <c r="Q73" s="532" t="n">
        <v>0</v>
      </c>
      <c r="R73" s="532" t="n">
        <v>0</v>
      </c>
      <c r="S73" s="532" t="n">
        <v>0</v>
      </c>
      <c r="T73" s="549" t="inlineStr">
        <is>
          <t>第一次合同：3年
2024/9/30-
2027/9/29</t>
        </is>
      </c>
      <c r="U73" s="549" t="inlineStr">
        <is>
          <t>6个月</t>
        </is>
      </c>
      <c r="V73" s="549" t="inlineStr">
        <is>
          <t>财务管理</t>
        </is>
      </c>
      <c r="W73" s="551" t="n">
        <v>44372</v>
      </c>
      <c r="X73" s="549" t="inlineStr">
        <is>
          <t>本科</t>
        </is>
      </c>
      <c r="Y73" s="549" t="inlineStr">
        <is>
          <t>2891350412@qq.com</t>
        </is>
      </c>
      <c r="Z73" s="549" t="inlineStr">
        <is>
          <t>山西省长治市武乡县故城镇东寨底村</t>
        </is>
      </c>
      <c r="AA73" s="549" t="inlineStr">
        <is>
          <t>北京市海淀区(永旺家园-二区)3栋4单元802</t>
        </is>
      </c>
      <c r="AB73" s="197" t="inlineStr">
        <is>
          <t>’17634912259</t>
        </is>
      </c>
      <c r="AC73" s="556" t="inlineStr">
        <is>
          <t>140429199704046821</t>
        </is>
      </c>
      <c r="AD73" s="556" t="inlineStr">
        <is>
          <t>6217000280008772271</t>
        </is>
      </c>
      <c r="AE73" s="549" t="inlineStr">
        <is>
          <t>中国建设银行</t>
        </is>
      </c>
      <c r="AG73" s="549" t="inlineStr">
        <is>
          <t>否</t>
        </is>
      </c>
      <c r="AH73" s="552" t="inlineStr">
        <is>
          <t>离职啦</t>
        </is>
      </c>
      <c r="AI73" s="82">
        <f>DATEDIF(--TEXT(MID(AC73,7,8),"0-00-00"),TODAY(),"y")</f>
        <v/>
      </c>
      <c r="AJ73" s="548">
        <f>TEXT(MID(AC73,7,8),"0000-00-00")</f>
        <v/>
      </c>
      <c r="AK73" s="95">
        <f>CHOOSE(MONTH(AJ73),1,1,1,2,2,2,3,3,3,4,4,4)</f>
        <v/>
      </c>
    </row>
    <row r="74" customFormat="1" s="549">
      <c r="A74" s="197" t="n">
        <v>72</v>
      </c>
      <c r="B74" s="550" t="inlineStr">
        <is>
          <t>王晨帆
（放弃入职）</t>
        </is>
      </c>
      <c r="C74" s="550" t="inlineStr">
        <is>
          <t>/</t>
        </is>
      </c>
      <c r="D74" s="549" t="inlineStr">
        <is>
          <t>男</t>
        </is>
      </c>
      <c r="E74" s="549" t="n">
        <v>4500</v>
      </c>
      <c r="F74" s="550" t="inlineStr">
        <is>
          <t>工资：4.5K短期3个月不打折
无其他补贴，无其他费用</t>
        </is>
      </c>
      <c r="G74" s="549" t="inlineStr">
        <is>
          <t>放弃入职</t>
        </is>
      </c>
      <c r="H74" s="549" t="inlineStr">
        <is>
          <t>手机整机测试开发工程师</t>
        </is>
      </c>
      <c r="I74" s="551" t="n">
        <v>45554</v>
      </c>
      <c r="J74" s="551" t="inlineStr">
        <is>
          <t>放弃入职</t>
        </is>
      </c>
      <c r="K74" s="551" t="inlineStr">
        <is>
          <t>/</t>
        </is>
      </c>
      <c r="L74" s="553" t="inlineStr">
        <is>
          <t>/</t>
        </is>
      </c>
      <c r="M74" s="549" t="inlineStr">
        <is>
          <t>南京</t>
        </is>
      </c>
      <c r="N74" s="549" t="inlineStr">
        <is>
          <t>南京</t>
        </is>
      </c>
      <c r="O74" s="554" t="inlineStr">
        <is>
          <t>/</t>
        </is>
      </c>
      <c r="P74" s="554" t="inlineStr">
        <is>
          <t>/</t>
        </is>
      </c>
      <c r="Q74" s="532" t="n">
        <v>0</v>
      </c>
      <c r="R74" s="532" t="n">
        <v>0</v>
      </c>
      <c r="S74" s="532" t="n">
        <v>0</v>
      </c>
      <c r="T74" s="549" t="inlineStr">
        <is>
          <t>/</t>
        </is>
      </c>
      <c r="U74" s="549" t="inlineStr">
        <is>
          <t>/</t>
        </is>
      </c>
      <c r="V74" s="549" t="inlineStr">
        <is>
          <t>软件工程</t>
        </is>
      </c>
      <c r="W74" s="551" t="n">
        <v>45447</v>
      </c>
      <c r="X74" s="549" t="inlineStr">
        <is>
          <t>本科</t>
        </is>
      </c>
      <c r="Y74" s="549" t="inlineStr">
        <is>
          <t>13610692417@163.com</t>
        </is>
      </c>
      <c r="Z74" s="549" t="inlineStr">
        <is>
          <t>/</t>
        </is>
      </c>
      <c r="AA74" s="549" t="inlineStr">
        <is>
          <t>山西省芮城县陌南镇马壁村第一组</t>
        </is>
      </c>
      <c r="AB74" s="197" t="inlineStr">
        <is>
          <t>‘13610692417</t>
        </is>
      </c>
      <c r="AC74" s="556" t="inlineStr">
        <is>
          <t>142723200110041412</t>
        </is>
      </c>
      <c r="AD74" s="549" t="inlineStr">
        <is>
          <t>/</t>
        </is>
      </c>
      <c r="AE74" s="549" t="inlineStr">
        <is>
          <t>/</t>
        </is>
      </c>
      <c r="AG74" s="549" t="inlineStr">
        <is>
          <t>否</t>
        </is>
      </c>
      <c r="AH74" s="552" t="inlineStr">
        <is>
          <t>离职啦</t>
        </is>
      </c>
      <c r="AI74" s="82">
        <f>DATEDIF(--TEXT(MID(AC74,7,8),"0-00-00"),TODAY(),"y")</f>
        <v/>
      </c>
      <c r="AJ74" s="548">
        <f>TEXT(MID(AC74,7,8),"0000-00-00")</f>
        <v/>
      </c>
      <c r="AK74" s="95">
        <f>CHOOSE(MONTH(AJ74),1,1,1,2,2,2,3,3,3,4,4,4)</f>
        <v/>
      </c>
    </row>
    <row r="75" customFormat="1" s="549">
      <c r="A75" s="197" t="n">
        <v>73</v>
      </c>
      <c r="B75" s="550" t="inlineStr">
        <is>
          <t>卢豪
（2024年12月13日已离职）</t>
        </is>
      </c>
      <c r="C75" s="550" t="inlineStr">
        <is>
          <t>/</t>
        </is>
      </c>
      <c r="D75" s="549" t="inlineStr">
        <is>
          <t>男</t>
        </is>
      </c>
      <c r="E75" s="549" t="n">
        <v>11000</v>
      </c>
      <c r="F75" s="550" t="inlineStr">
        <is>
          <t xml:space="preserve">工资：11K 
试用期不打折 全薪
魅族短期项目  
合同9月23号-25年1月30号项目结束
9月23号入职  </t>
        </is>
      </c>
      <c r="G75" s="550" t="inlineStr">
        <is>
          <t>材料齐全
已回寄员工</t>
        </is>
      </c>
      <c r="H75" s="549" t="inlineStr">
        <is>
          <t>android应用开发工程师</t>
        </is>
      </c>
      <c r="I75" s="551" t="n">
        <v>45558</v>
      </c>
      <c r="J75" s="551" t="inlineStr">
        <is>
          <t>2024年12月13日lastday项目短期被释放</t>
        </is>
      </c>
      <c r="K75" s="551" t="inlineStr">
        <is>
          <t>短期4个月</t>
        </is>
      </c>
      <c r="L75" s="553" t="n">
        <v>45566</v>
      </c>
      <c r="M75" s="549" t="inlineStr">
        <is>
          <t>武汉</t>
        </is>
      </c>
      <c r="N75" s="549" t="inlineStr">
        <is>
          <t>武汉</t>
        </is>
      </c>
      <c r="O75" s="554" t="n">
        <v>11000</v>
      </c>
      <c r="P75" s="554" t="n">
        <v>11000</v>
      </c>
      <c r="Q75" s="532" t="n">
        <v>0</v>
      </c>
      <c r="R75" s="532" t="n">
        <v>0</v>
      </c>
      <c r="S75" s="532" t="n">
        <v>0</v>
      </c>
      <c r="T75" s="550" t="inlineStr">
        <is>
          <t>第一次合同：5个月左右
2024/9/23-2025/2/22</t>
        </is>
      </c>
      <c r="U75" s="549" t="inlineStr">
        <is>
          <t>/</t>
        </is>
      </c>
      <c r="V75" s="549" t="inlineStr">
        <is>
          <t>计算机科学与技术</t>
        </is>
      </c>
      <c r="W75" s="551" t="n">
        <v>43256</v>
      </c>
      <c r="X75" s="549" t="inlineStr">
        <is>
          <t>本科</t>
        </is>
      </c>
      <c r="Y75" s="557" t="inlineStr">
        <is>
          <t>13721833275@163.com</t>
        </is>
      </c>
      <c r="Z75" s="549" t="inlineStr">
        <is>
          <t>河南省邓州市高集镇寨上住址村卢洼76号</t>
        </is>
      </c>
      <c r="AA75" s="549" t="inlineStr">
        <is>
          <t>河南省邓州市高集镇寨上住址村卢洼76号</t>
        </is>
      </c>
      <c r="AB75" s="197" t="inlineStr">
        <is>
          <t>‘13721833275</t>
        </is>
      </c>
      <c r="AC75" s="556" t="inlineStr">
        <is>
          <t>411381200204065331</t>
        </is>
      </c>
      <c r="AD75" s="549" t="inlineStr">
        <is>
          <t>6217 0028 7010 5341 893</t>
        </is>
      </c>
      <c r="AE75" s="549" t="inlineStr">
        <is>
          <t>中国建设银行</t>
        </is>
      </c>
      <c r="AG75" s="549" t="inlineStr">
        <is>
          <t>否</t>
        </is>
      </c>
      <c r="AH75" s="552" t="inlineStr">
        <is>
          <t>离职啦</t>
        </is>
      </c>
      <c r="AI75" s="82">
        <f>DATEDIF(--TEXT(MID(AC75,7,8),"0-00-00"),TODAY(),"y")</f>
        <v/>
      </c>
      <c r="AJ75" s="548">
        <f>TEXT(MID(AC75,7,8),"0000-00-00")</f>
        <v/>
      </c>
      <c r="AK75" s="95">
        <f>CHOOSE(MONTH(AJ75),1,1,1,2,2,2,3,3,3,4,4,4)</f>
        <v/>
      </c>
    </row>
    <row r="76" customFormat="1" s="532">
      <c r="A76" s="82" t="n">
        <v>31</v>
      </c>
      <c r="B76" s="541" t="inlineStr">
        <is>
          <t>胡鳌</t>
        </is>
      </c>
      <c r="C76" s="541" t="inlineStr">
        <is>
          <t>上海文石</t>
        </is>
      </c>
      <c r="D76" s="532" t="inlineStr">
        <is>
          <t>男</t>
        </is>
      </c>
      <c r="E76" s="532">
        <f>16000+1000</f>
        <v/>
      </c>
      <c r="F76" s="541" t="inlineStr">
        <is>
          <t>工资16K,短期项目三个月支撑    无试用期 无其他补贴，无其他费用
胡鳌转长期了，胡鳌自2026年5月起涨薪1000元，现在工资16000+1000=17000</t>
        </is>
      </c>
      <c r="G76" s="541" t="inlineStr">
        <is>
          <t xml:space="preserve">两份合同都材料齐全
都已回寄员工
两份合同
2024/9/23-12/22日短期三个月
2024/12/23日-2025/12/22
</t>
        </is>
      </c>
      <c r="H76" s="532" t="inlineStr">
        <is>
          <t>自动驾驶实车系统验证工程师</t>
        </is>
      </c>
      <c r="I76" s="533" t="n">
        <v>45558</v>
      </c>
      <c r="J76" s="533" t="inlineStr">
        <is>
          <t>/</t>
        </is>
      </c>
      <c r="K76" s="533" t="inlineStr">
        <is>
          <t>短期3个月</t>
        </is>
      </c>
      <c r="L76" s="534" t="n">
        <v>45567</v>
      </c>
      <c r="M76" s="532" t="inlineStr">
        <is>
          <t>上海</t>
        </is>
      </c>
      <c r="N76" s="532" t="inlineStr">
        <is>
          <t>上海</t>
        </is>
      </c>
      <c r="O76" s="532" t="inlineStr">
        <is>
          <t>无试用期</t>
        </is>
      </c>
      <c r="P76" s="532" t="inlineStr">
        <is>
          <t>16K</t>
        </is>
      </c>
      <c r="Q76" s="532" t="n">
        <v>0</v>
      </c>
      <c r="R76" s="532" t="n">
        <v>0</v>
      </c>
      <c r="S76" s="532" t="n">
        <v>0</v>
      </c>
      <c r="T76" s="541" t="inlineStr">
        <is>
          <t>第一次合同：短期3个月：
2024/9/23-12/22
第二次合同：1年：
2024/12/23-2025/12/22</t>
        </is>
      </c>
      <c r="U76" s="532" t="inlineStr">
        <is>
          <t>0个月</t>
        </is>
      </c>
      <c r="V76" s="532" t="inlineStr">
        <is>
          <t>建筑工程技术</t>
        </is>
      </c>
      <c r="W76" s="533" t="n">
        <v>2016.1</v>
      </c>
      <c r="X76" s="532" t="inlineStr">
        <is>
          <t>专科</t>
        </is>
      </c>
      <c r="Y76" s="563" t="inlineStr">
        <is>
          <t>981710965@qq.com</t>
        </is>
      </c>
      <c r="Z76" s="532" t="inlineStr">
        <is>
          <t>湖北省恩施土家族苗族自治州利川市南坪乡新屋村10组1号</t>
        </is>
      </c>
      <c r="AA76" s="532" t="inlineStr">
        <is>
          <t>江苏省昆山市花桥镇宏图国际公寓4幢601</t>
        </is>
      </c>
      <c r="AB76" s="82" t="inlineStr">
        <is>
          <t>,13916450664</t>
        </is>
      </c>
      <c r="AC76" s="546" t="inlineStr">
        <is>
          <t>422802199612206075</t>
        </is>
      </c>
      <c r="AD76" s="546" t="inlineStr">
        <is>
          <t>6215983760002310314</t>
        </is>
      </c>
      <c r="AE76" s="532" t="inlineStr">
        <is>
          <t>中国建设银行</t>
        </is>
      </c>
      <c r="AG76" s="532" t="inlineStr">
        <is>
          <t>是</t>
        </is>
      </c>
      <c r="AH76" s="547" t="inlineStr">
        <is>
          <t>第一次劳动合同：南京文石-短期3个月：
2024/9/23-12/22
第二次劳动合同：1年：中途转上海文石2024/12/23-2025/12/22
第三次劳动合同：上海文石转长期了3年：2025.12.23-2028.12.22</t>
        </is>
      </c>
      <c r="AI76" s="82">
        <f>DATEDIF(--TEXT(MID(AC76,7,8),"0-00-00"),TODAY(),"y")</f>
        <v/>
      </c>
      <c r="AJ76" s="548">
        <f>TEXT(MID(AC76,7,8),"0000-00-00")</f>
        <v/>
      </c>
      <c r="AK76" s="95">
        <f>CHOOSE(MONTH(AJ76),1,1,1,2,2,2,3,3,3,4,4,4)</f>
        <v/>
      </c>
    </row>
    <row r="77" customFormat="1" s="549">
      <c r="A77" s="197" t="n">
        <v>75</v>
      </c>
      <c r="B77" s="550" t="inlineStr">
        <is>
          <t>柯雪霞
（2025/3/7日  已离职）</t>
        </is>
      </c>
      <c r="C77" s="550" t="inlineStr">
        <is>
          <t>/</t>
        </is>
      </c>
      <c r="D77" s="549" t="inlineStr">
        <is>
          <t>女</t>
        </is>
      </c>
      <c r="E77" s="549" t="n">
        <v>9000</v>
      </c>
      <c r="F77" s="550" t="inlineStr">
        <is>
          <t xml:space="preserve">工资：7.2K/9K 
试用期2个月打八折 
1年的合同 </t>
        </is>
      </c>
      <c r="G77" s="550" t="inlineStr">
        <is>
          <t>材料齐全
已回寄员工
 体检费用全部报销
2025/3/7  lastday  离职证明已发</t>
        </is>
      </c>
      <c r="H77" s="549" t="inlineStr">
        <is>
          <t>销售运营</t>
        </is>
      </c>
      <c r="I77" s="551" t="n">
        <v>45560</v>
      </c>
      <c r="J77" s="552" t="inlineStr">
        <is>
          <t>2025/3/7  lastday  
离职证明已发</t>
        </is>
      </c>
      <c r="K77" s="551" t="n">
        <v>45652</v>
      </c>
      <c r="L77" s="553" t="n">
        <v>45567</v>
      </c>
      <c r="M77" s="549" t="inlineStr">
        <is>
          <t>深圳</t>
        </is>
      </c>
      <c r="N77" s="549" t="inlineStr">
        <is>
          <t>深圳</t>
        </is>
      </c>
      <c r="O77" s="554" t="inlineStr">
        <is>
          <t>7.2K</t>
        </is>
      </c>
      <c r="P77" s="554" t="inlineStr">
        <is>
          <t>9K</t>
        </is>
      </c>
      <c r="Q77" s="532" t="n">
        <v>0</v>
      </c>
      <c r="R77" s="532" t="n">
        <v>0</v>
      </c>
      <c r="S77" s="532" t="n">
        <v>0</v>
      </c>
      <c r="T77" s="550" t="inlineStr">
        <is>
          <t>第一次合同：1年
2024/9/25-2025/9/24</t>
        </is>
      </c>
      <c r="U77" s="549" t="inlineStr">
        <is>
          <t>2个月</t>
        </is>
      </c>
      <c r="V77" s="549" t="inlineStr">
        <is>
          <t>电子商务</t>
        </is>
      </c>
      <c r="W77" s="551" t="n">
        <v>42522</v>
      </c>
      <c r="X77" s="549" t="inlineStr">
        <is>
          <t>本科</t>
        </is>
      </c>
      <c r="Y77" s="549" t="inlineStr">
        <is>
          <t>1628857462@qq.com</t>
        </is>
      </c>
      <c r="Z77" s="549" t="inlineStr">
        <is>
          <t>江西省瑞昌市乐园乡南北港村港北71号</t>
        </is>
      </c>
      <c r="AA77" s="549" t="inlineStr">
        <is>
          <t>广东省深圳市南山区桃源街道珠光北路圳宝花园</t>
        </is>
      </c>
      <c r="AB77" s="197" t="inlineStr">
        <is>
          <t>‘13640980205</t>
        </is>
      </c>
      <c r="AC77" s="556" t="inlineStr">
        <is>
          <t>360481199312052225</t>
        </is>
      </c>
      <c r="AD77" s="556" t="inlineStr">
        <is>
          <t>6230947200008351909</t>
        </is>
      </c>
      <c r="AE77" s="549" t="inlineStr">
        <is>
          <t>中国建设银行</t>
        </is>
      </c>
      <c r="AG77" s="549" t="inlineStr">
        <is>
          <t>否</t>
        </is>
      </c>
      <c r="AH77" s="552" t="inlineStr">
        <is>
          <t>离职啦</t>
        </is>
      </c>
      <c r="AI77" s="82">
        <f>DATEDIF(--TEXT(MID(AC77,7,8),"0-00-00"),TODAY(),"y")</f>
        <v/>
      </c>
      <c r="AJ77" s="548">
        <f>TEXT(MID(AC77,7,8),"0000-00-00")</f>
        <v/>
      </c>
      <c r="AK77" s="95">
        <f>CHOOSE(MONTH(AJ77),1,1,1,2,2,2,3,3,3,4,4,4)</f>
        <v/>
      </c>
    </row>
    <row r="78" customFormat="1" s="549">
      <c r="A78" s="197" t="n">
        <v>76</v>
      </c>
      <c r="B78" s="550" t="inlineStr">
        <is>
          <t>刘晓震
（2024/10月14日已离职）</t>
        </is>
      </c>
      <c r="C78" s="550" t="inlineStr">
        <is>
          <t>/</t>
        </is>
      </c>
      <c r="D78" s="549" t="inlineStr">
        <is>
          <t>女</t>
        </is>
      </c>
      <c r="E78" s="549" t="n">
        <v>19000</v>
      </c>
      <c r="F78" s="550" t="inlineStr">
        <is>
          <t>工资19K,短期项目三个月支撑    无试用期 无其他补贴，无其他费用</t>
        </is>
      </c>
      <c r="G78" s="550" t="inlineStr">
        <is>
          <t>入职材料已收到，未盖章未回寄员工，因为员工已离职。</t>
        </is>
      </c>
      <c r="H78" s="549" t="inlineStr">
        <is>
          <t xml:space="preserve">自动驾驶实车系统验证工程师 </t>
        </is>
      </c>
      <c r="I78" s="551" t="n">
        <v>45574</v>
      </c>
      <c r="J78" s="552" t="inlineStr">
        <is>
          <t>2024/10/14 
lastday</t>
        </is>
      </c>
      <c r="K78" s="551" t="n">
        <v>45574</v>
      </c>
      <c r="L78" s="553" t="inlineStr">
        <is>
          <t>已离职</t>
        </is>
      </c>
      <c r="M78" s="549" t="inlineStr">
        <is>
          <t>上海</t>
        </is>
      </c>
      <c r="N78" s="549" t="inlineStr">
        <is>
          <t>上海</t>
        </is>
      </c>
      <c r="O78" s="554" t="inlineStr">
        <is>
          <t>无试用期</t>
        </is>
      </c>
      <c r="P78" s="554" t="inlineStr">
        <is>
          <t>19k</t>
        </is>
      </c>
      <c r="Q78" s="532" t="n">
        <v>0</v>
      </c>
      <c r="R78" s="532" t="n">
        <v>0</v>
      </c>
      <c r="S78" s="532" t="n">
        <v>0</v>
      </c>
      <c r="T78" s="550" t="inlineStr">
        <is>
          <t>第一次合同：3个月短期
2024/10/9-2024/10/14</t>
        </is>
      </c>
      <c r="U78" s="549" t="inlineStr">
        <is>
          <t>0个月</t>
        </is>
      </c>
      <c r="V78" s="549" t="inlineStr">
        <is>
          <t>学前教育</t>
        </is>
      </c>
      <c r="W78" s="551" t="n">
        <v>42887</v>
      </c>
      <c r="X78" s="549" t="inlineStr">
        <is>
          <t>大专</t>
        </is>
      </c>
      <c r="Y78" s="566" t="inlineStr">
        <is>
          <t>709358843@qq.com</t>
        </is>
      </c>
      <c r="Z78" s="549" t="inlineStr">
        <is>
          <t>黑龙江省兰西县新河社区通河街东城路东礼巷51号</t>
        </is>
      </c>
      <c r="AA78" s="549" t="inlineStr">
        <is>
          <t>上海市浦东新区申江路5005弄1号楼</t>
        </is>
      </c>
      <c r="AB78" s="197" t="inlineStr">
        <is>
          <t>,15776699905</t>
        </is>
      </c>
      <c r="AC78" s="556" t="inlineStr">
        <is>
          <t>231222199803104043</t>
        </is>
      </c>
      <c r="AD78" s="556" t="inlineStr">
        <is>
          <t>6215340300224419318</t>
        </is>
      </c>
      <c r="AE78" s="549" t="inlineStr">
        <is>
          <t>中国建设银行</t>
        </is>
      </c>
      <c r="AG78" s="549" t="inlineStr">
        <is>
          <t>否</t>
        </is>
      </c>
      <c r="AH78" s="551" t="inlineStr">
        <is>
          <t>离职啦</t>
        </is>
      </c>
      <c r="AI78" s="82">
        <f>DATEDIF(--TEXT(MID(AC78,7,8),"0-00-00"),TODAY(),"y")</f>
        <v/>
      </c>
      <c r="AJ78" s="548">
        <f>TEXT(MID(AC78,7,8),"0000-00-00")</f>
        <v/>
      </c>
      <c r="AK78" s="95">
        <f>CHOOSE(MONTH(AJ78),1,1,1,2,2,2,3,3,3,4,4,4)</f>
        <v/>
      </c>
    </row>
    <row r="79" customFormat="1" s="549">
      <c r="A79" s="197" t="n">
        <v>77</v>
      </c>
      <c r="B79" s="550" t="inlineStr">
        <is>
          <t>施井江
（2024/10月17日已离职）</t>
        </is>
      </c>
      <c r="C79" s="550" t="inlineStr">
        <is>
          <t>/</t>
        </is>
      </c>
      <c r="D79" s="549" t="inlineStr">
        <is>
          <t>男</t>
        </is>
      </c>
      <c r="E79" s="549" t="n">
        <v>10000</v>
      </c>
      <c r="F79" s="550" t="inlineStr">
        <is>
          <t>工资8K/10K
试用期2个月 第一个月打8折
地平线短期7个月岗位
10月09号入职
没有任何补贴</t>
        </is>
      </c>
      <c r="G79" s="550" t="inlineStr">
        <is>
          <t>入职材料已收到，未盖章未回寄员工，因为员工已离职。
（毕业证还没拿到 有学信网验证报告 25年才可以拿到毕业证）</t>
        </is>
      </c>
      <c r="H79" s="549" t="inlineStr">
        <is>
          <t>智能驾驶车辆的整车改装</t>
        </is>
      </c>
      <c r="I79" s="551" t="n">
        <v>45574</v>
      </c>
      <c r="J79" s="552" t="inlineStr">
        <is>
          <t>2024/10月17日lastday</t>
        </is>
      </c>
      <c r="K79" s="552" t="n">
        <v>45665</v>
      </c>
      <c r="L79" s="553" t="inlineStr">
        <is>
          <t>已离职</t>
        </is>
      </c>
      <c r="M79" s="549" t="inlineStr">
        <is>
          <t>上海</t>
        </is>
      </c>
      <c r="N79" s="549" t="inlineStr">
        <is>
          <t>上海</t>
        </is>
      </c>
      <c r="O79" s="554" t="inlineStr">
        <is>
          <t>8k</t>
        </is>
      </c>
      <c r="P79" s="554" t="inlineStr">
        <is>
          <t>10K</t>
        </is>
      </c>
      <c r="Q79" s="532" t="n">
        <v>0</v>
      </c>
      <c r="R79" s="532" t="n">
        <v>0</v>
      </c>
      <c r="S79" s="532" t="n">
        <v>0</v>
      </c>
      <c r="T79" s="550" t="inlineStr">
        <is>
          <t>第一次合同：7个月左右
2024/10/9-2024/10/17</t>
        </is>
      </c>
      <c r="U79" s="549" t="inlineStr">
        <is>
          <t>2个月</t>
        </is>
      </c>
      <c r="V79" s="549" t="inlineStr">
        <is>
          <t>计算机及应用</t>
        </is>
      </c>
      <c r="W79" s="551" t="n">
        <v>45809</v>
      </c>
      <c r="X79" s="549" t="inlineStr">
        <is>
          <t>非全日制大专</t>
        </is>
      </c>
      <c r="Y79" s="549" t="inlineStr">
        <is>
          <t>17807531832@139.com</t>
        </is>
      </c>
      <c r="Z79" s="549" t="inlineStr">
        <is>
          <t>安徽省定远县定城镇岗上村向东组4号</t>
        </is>
      </c>
      <c r="AA79" s="549" t="inlineStr">
        <is>
          <t>安徽省定远县定城镇岗上村向东组4号</t>
        </is>
      </c>
      <c r="AB79" s="197" t="inlineStr">
        <is>
          <t>‘17807531832</t>
        </is>
      </c>
      <c r="AC79" s="556" t="inlineStr">
        <is>
          <t>341225199410062419</t>
        </is>
      </c>
      <c r="AD79" s="556" t="inlineStr">
        <is>
          <t>6215340300717052428</t>
        </is>
      </c>
      <c r="AE79" s="549" t="inlineStr">
        <is>
          <t>中国建设银行</t>
        </is>
      </c>
      <c r="AG79" s="549" t="inlineStr">
        <is>
          <t>否</t>
        </is>
      </c>
      <c r="AH79" s="551" t="inlineStr">
        <is>
          <t>离职啦</t>
        </is>
      </c>
      <c r="AI79" s="82">
        <f>DATEDIF(--TEXT(MID(AC79,7,8),"0-00-00"),TODAY(),"y")</f>
        <v/>
      </c>
      <c r="AJ79" s="548">
        <f>TEXT(MID(AC79,7,8),"0000-00-00")</f>
        <v/>
      </c>
      <c r="AK79" s="95">
        <f>CHOOSE(MONTH(AJ79),1,1,1,2,2,2,3,3,3,4,4,4)</f>
        <v/>
      </c>
    </row>
    <row r="80" customFormat="1" s="532">
      <c r="A80" s="82" t="n">
        <v>32</v>
      </c>
      <c r="B80" s="532" t="inlineStr">
        <is>
          <t>仲伟巍</t>
        </is>
      </c>
      <c r="C80" s="532" t="inlineStr">
        <is>
          <t>上海文石</t>
        </is>
      </c>
      <c r="D80" s="532" t="inlineStr">
        <is>
          <t>男</t>
        </is>
      </c>
      <c r="E80" s="532" t="n">
        <v>17500</v>
      </c>
      <c r="F80" s="541" t="inlineStr">
        <is>
          <t>工资：14k/17.5k
3年的合同，试用期6个月 前三个月打八折    
无任何补贴
10.16号入职</t>
        </is>
      </c>
      <c r="G80" s="541" t="inlineStr">
        <is>
          <t>材料齐全
已回寄员工</t>
        </is>
      </c>
      <c r="H80" s="532" t="inlineStr">
        <is>
          <t>智能驾驶车辆改装工程师</t>
        </is>
      </c>
      <c r="I80" s="533" t="n">
        <v>45581</v>
      </c>
      <c r="J80" s="533" t="inlineStr">
        <is>
          <t>/</t>
        </is>
      </c>
      <c r="K80" s="533" t="n">
        <v>45762</v>
      </c>
      <c r="L80" s="534" t="n">
        <v>45597</v>
      </c>
      <c r="M80" s="532" t="inlineStr">
        <is>
          <t>上海</t>
        </is>
      </c>
      <c r="N80" s="532" t="inlineStr">
        <is>
          <t>上海</t>
        </is>
      </c>
      <c r="O80" s="532" t="inlineStr">
        <is>
          <t>14k</t>
        </is>
      </c>
      <c r="P80" s="532" t="inlineStr">
        <is>
          <t>17.5k</t>
        </is>
      </c>
      <c r="Q80" s="532" t="n">
        <v>0</v>
      </c>
      <c r="R80" s="532" t="n">
        <v>0</v>
      </c>
      <c r="S80" s="532" t="n">
        <v>0</v>
      </c>
      <c r="T80" s="541" t="inlineStr">
        <is>
          <t>第一次合同：3年：
2024/10/16-2027/10/15</t>
        </is>
      </c>
      <c r="U80" s="532" t="inlineStr">
        <is>
          <t>6个月</t>
        </is>
      </c>
      <c r="V80" s="532" t="inlineStr">
        <is>
          <t>汽车检测与维修技术</t>
        </is>
      </c>
      <c r="W80" s="533" t="n">
        <v>42186</v>
      </c>
      <c r="X80" s="532" t="inlineStr">
        <is>
          <t>专科</t>
        </is>
      </c>
      <c r="Y80" s="555" t="inlineStr">
        <is>
          <t>675805481@qq.com</t>
        </is>
      </c>
      <c r="Z80" s="532" t="inlineStr">
        <is>
          <t>江苏省连云港市赣榆区金山镇仲集前村一队103号</t>
        </is>
      </c>
      <c r="AA80" s="541" t="inlineStr">
        <is>
          <t>上海市浦东新区秀浦路2500弄星月总部湾7号楼
（自如寓435室）</t>
        </is>
      </c>
      <c r="AB80" s="82" t="n">
        <v>15950087528</v>
      </c>
      <c r="AC80" s="546" t="inlineStr">
        <is>
          <t>320721199305214655</t>
        </is>
      </c>
      <c r="AD80" s="546" t="inlineStr">
        <is>
          <t>6217002000059610883</t>
        </is>
      </c>
      <c r="AE80" s="532" t="inlineStr">
        <is>
          <t>中国建设银行</t>
        </is>
      </c>
      <c r="AG80" s="532" t="inlineStr">
        <is>
          <t>是</t>
        </is>
      </c>
      <c r="AH80" s="547" t="inlineStr">
        <is>
          <t>第一次劳动合同：3年：2024/10/16-2027/10/15</t>
        </is>
      </c>
      <c r="AI80" s="82">
        <f>DATEDIF(--TEXT(MID(AC80,7,8),"0-00-00"),TODAY(),"y")</f>
        <v/>
      </c>
      <c r="AJ80" s="548">
        <f>TEXT(MID(AC80,7,8),"0000-00-00")</f>
        <v/>
      </c>
      <c r="AK80" s="95">
        <f>CHOOSE(MONTH(AJ80),1,1,1,2,2,2,3,3,3,4,4,4)</f>
        <v/>
      </c>
    </row>
    <row r="81" customFormat="1" s="549">
      <c r="A81" s="197" t="n">
        <v>79</v>
      </c>
      <c r="B81" s="550" t="inlineStr">
        <is>
          <t>李百健
2024.11.22日 已离职</t>
        </is>
      </c>
      <c r="C81" s="550" t="inlineStr">
        <is>
          <t>/</t>
        </is>
      </c>
      <c r="D81" s="549" t="inlineStr">
        <is>
          <t>男</t>
        </is>
      </c>
      <c r="E81" s="549" t="n">
        <v>17000</v>
      </c>
      <c r="F81" s="550" t="inlineStr">
        <is>
          <t>工资17k,签订短期一个月兼职合同，不打折，不缴纳社保另外补贴1000元</t>
        </is>
      </c>
      <c r="G81" s="550" t="inlineStr">
        <is>
          <t>材料齐全
已回寄员工</t>
        </is>
      </c>
      <c r="H81" s="549" t="inlineStr">
        <is>
          <t>Java后端开发工程师</t>
        </is>
      </c>
      <c r="I81" s="551" t="n">
        <v>45586</v>
      </c>
      <c r="J81" s="552" t="inlineStr">
        <is>
          <t>2024.11.22日
lastday</t>
        </is>
      </c>
      <c r="K81" s="551" t="inlineStr">
        <is>
          <t>一个月，无试用期</t>
        </is>
      </c>
      <c r="L81" s="553" t="inlineStr">
        <is>
          <t>不缴纳</t>
        </is>
      </c>
      <c r="M81" s="549" t="inlineStr">
        <is>
          <t>上海</t>
        </is>
      </c>
      <c r="N81" s="549" t="inlineStr">
        <is>
          <t>上海</t>
        </is>
      </c>
      <c r="O81" s="554" t="inlineStr">
        <is>
          <t>无试用期</t>
        </is>
      </c>
      <c r="P81" s="554" t="inlineStr">
        <is>
          <t>17k</t>
        </is>
      </c>
      <c r="Q81" s="532" t="n">
        <v>0</v>
      </c>
      <c r="R81" s="532" t="n">
        <v>0</v>
      </c>
      <c r="S81" s="532" t="n">
        <v>0</v>
      </c>
      <c r="T81" s="550" t="inlineStr">
        <is>
          <t>第一次合同：1个月
2024/10/21-2024.11.22</t>
        </is>
      </c>
      <c r="U81" s="549" t="inlineStr">
        <is>
          <t>0个月</t>
        </is>
      </c>
      <c r="V81" s="549" t="inlineStr">
        <is>
          <t>计算机科学与技术</t>
        </is>
      </c>
      <c r="W81" s="551" t="n">
        <v>43282</v>
      </c>
      <c r="X81" s="549" t="inlineStr">
        <is>
          <t>专科</t>
        </is>
      </c>
      <c r="Y81" s="566" t="inlineStr">
        <is>
          <t>960980268@qq.com</t>
        </is>
      </c>
      <c r="Z81" s="549" t="inlineStr">
        <is>
          <t>山西省曲沃县杨谈乡义合庄村正街北区89号</t>
        </is>
      </c>
      <c r="AA81" s="549" t="inlineStr">
        <is>
          <t>上海市浦东新区唐镇齐友佳苑31号楼501</t>
        </is>
      </c>
      <c r="AB81" s="197" t="inlineStr">
        <is>
          <t>，18302197047</t>
        </is>
      </c>
      <c r="AC81" s="556" t="inlineStr">
        <is>
          <t>142621199505044139</t>
        </is>
      </c>
      <c r="AD81" s="556" t="inlineStr">
        <is>
          <t>6215340301707029897</t>
        </is>
      </c>
      <c r="AE81" s="549" t="inlineStr">
        <is>
          <t>中国建设银行</t>
        </is>
      </c>
      <c r="AG81" s="549" t="inlineStr">
        <is>
          <t>否</t>
        </is>
      </c>
      <c r="AH81" s="551" t="inlineStr">
        <is>
          <t>离职啦</t>
        </is>
      </c>
      <c r="AI81" s="82">
        <f>DATEDIF(--TEXT(MID(AC81,7,8),"0-00-00"),TODAY(),"y")</f>
        <v/>
      </c>
      <c r="AJ81" s="548">
        <f>TEXT(MID(AC81,7,8),"0000-00-00")</f>
        <v/>
      </c>
      <c r="AK81" s="95">
        <f>CHOOSE(MONTH(AJ81),1,1,1,2,2,2,3,3,3,4,4,4)</f>
        <v/>
      </c>
    </row>
    <row r="82" customFormat="1" s="549">
      <c r="A82" s="197" t="n">
        <v>80</v>
      </c>
      <c r="B82" s="550" t="inlineStr">
        <is>
          <t>舒维
（2025/2/24已离职）</t>
        </is>
      </c>
      <c r="C82" s="550" t="inlineStr">
        <is>
          <t>/</t>
        </is>
      </c>
      <c r="D82" s="549" t="inlineStr">
        <is>
          <t>女</t>
        </is>
      </c>
      <c r="E82" s="549" t="n">
        <v>16000</v>
      </c>
      <c r="F82" s="550" t="inlineStr">
        <is>
          <t>工资12.8K/16K
试用期2个月打8折
签一年合同
五险一金缴纳基数:9500，实打实承担</t>
        </is>
      </c>
      <c r="G82" s="550" t="inlineStr">
        <is>
          <t>材料齐全
已回寄员工
2025/2/24日被辞退,文石赔偿16000元，
TS结算到3/21</t>
        </is>
      </c>
      <c r="H82" s="549" t="inlineStr">
        <is>
          <t>HR专员</t>
        </is>
      </c>
      <c r="I82" s="551" t="n">
        <v>45586</v>
      </c>
      <c r="J82" s="552" t="inlineStr">
        <is>
          <t>2025/2/24日被辞退,
文石赔偿16000元，
TS结算到3/21</t>
        </is>
      </c>
      <c r="K82" s="551" t="n">
        <v>45677</v>
      </c>
      <c r="L82" s="553" t="n">
        <v>45597</v>
      </c>
      <c r="M82" s="549" t="inlineStr">
        <is>
          <t>上海</t>
        </is>
      </c>
      <c r="N82" s="549" t="inlineStr">
        <is>
          <t>上海</t>
        </is>
      </c>
      <c r="O82" s="554" t="inlineStr">
        <is>
          <t>12.8K</t>
        </is>
      </c>
      <c r="P82" s="554" t="inlineStr">
        <is>
          <t>16K</t>
        </is>
      </c>
      <c r="Q82" s="532" t="n">
        <v>0</v>
      </c>
      <c r="R82" s="532" t="n">
        <v>0</v>
      </c>
      <c r="S82" s="532" t="n">
        <v>0</v>
      </c>
      <c r="T82" s="550" t="inlineStr">
        <is>
          <t>第一次合同：1年
2024/10/21-2025/2/24</t>
        </is>
      </c>
      <c r="U82" s="549" t="inlineStr">
        <is>
          <t>2个月</t>
        </is>
      </c>
      <c r="V82" s="549" t="inlineStr">
        <is>
          <t>人力资源管理</t>
        </is>
      </c>
      <c r="W82" s="551" t="inlineStr">
        <is>
          <t>2019年06</t>
        </is>
      </c>
      <c r="X82" s="549" t="inlineStr">
        <is>
          <t>全日制本科</t>
        </is>
      </c>
      <c r="Y82" s="549" t="inlineStr">
        <is>
          <t>2577324174@qq.com</t>
        </is>
      </c>
      <c r="Z82" s="549" t="inlineStr">
        <is>
          <t>贵州省松桃苗族自治县大坪场镇</t>
        </is>
      </c>
      <c r="AA82" s="549" t="inlineStr">
        <is>
          <t>上海市浦东新区盛夏路666号D栋2楼</t>
        </is>
      </c>
      <c r="AB82" s="197" t="inlineStr">
        <is>
          <t>‘18850155594</t>
        </is>
      </c>
      <c r="AC82" s="556" t="inlineStr">
        <is>
          <t>52222919961212162X</t>
        </is>
      </c>
      <c r="AD82" s="556" t="inlineStr">
        <is>
          <t>6217001930042035239</t>
        </is>
      </c>
      <c r="AE82" s="549" t="inlineStr">
        <is>
          <t>中国建设银行</t>
        </is>
      </c>
      <c r="AG82" s="549" t="inlineStr">
        <is>
          <t>否</t>
        </is>
      </c>
      <c r="AH82" s="552" t="inlineStr">
        <is>
          <t>离职啦</t>
        </is>
      </c>
      <c r="AI82" s="82">
        <f>DATEDIF(--TEXT(MID(AC82,7,8),"0-00-00"),TODAY(),"y")</f>
        <v/>
      </c>
      <c r="AJ82" s="548">
        <f>TEXT(MID(AC82,7,8),"0000-00-00")</f>
        <v/>
      </c>
      <c r="AK82" s="95">
        <f>CHOOSE(MONTH(AJ82),1,1,1,2,2,2,3,3,3,4,4,4)</f>
        <v/>
      </c>
    </row>
    <row r="83" customFormat="1" s="549">
      <c r="A83" s="197" t="n">
        <v>37</v>
      </c>
      <c r="B83" s="550" t="inlineStr">
        <is>
          <t>李鹏辉
2025/11/24lastday</t>
        </is>
      </c>
      <c r="C83" s="550" t="inlineStr">
        <is>
          <t>北京文石</t>
        </is>
      </c>
      <c r="D83" s="549" t="inlineStr">
        <is>
          <t>男</t>
        </is>
      </c>
      <c r="E83" s="549" t="n">
        <v>15000</v>
      </c>
      <c r="F83" s="550" t="inlineStr">
        <is>
          <t>工资15k，签订三年合同，试用期6个月，前三个月8折，无其他补贴，无其他费用</t>
        </is>
      </c>
      <c r="G83" s="550" t="inlineStr">
        <is>
          <t>材料齐全
已回寄员工</t>
        </is>
      </c>
      <c r="H83" s="549" t="inlineStr">
        <is>
          <t>智能驾驶实车系统验证工程师</t>
        </is>
      </c>
      <c r="I83" s="551" t="n">
        <v>45588</v>
      </c>
      <c r="J83" s="552" t="inlineStr">
        <is>
          <t>2025/11/24lastday
客户觉得绩效差主动劝退了，员工赔偿0.5个月薪资。</t>
        </is>
      </c>
      <c r="K83" s="551" t="inlineStr">
        <is>
          <t>2025/1/22开始转正工资
试用期时间6个月</t>
        </is>
      </c>
      <c r="L83" s="553" t="n">
        <v>45597</v>
      </c>
      <c r="M83" s="549" t="inlineStr">
        <is>
          <t>北京</t>
        </is>
      </c>
      <c r="N83" s="549" t="inlineStr">
        <is>
          <t>北京</t>
        </is>
      </c>
      <c r="O83" s="554" t="n">
        <v>12000</v>
      </c>
      <c r="P83" s="554" t="n">
        <v>15000</v>
      </c>
      <c r="Q83" s="532" t="n">
        <v>0</v>
      </c>
      <c r="R83" s="532" t="n">
        <v>0</v>
      </c>
      <c r="S83" s="532" t="n">
        <v>0</v>
      </c>
      <c r="T83" s="550" t="inlineStr">
        <is>
          <t xml:space="preserve">第一次合同：3年
2024/10/23-2027/10/22
</t>
        </is>
      </c>
      <c r="U83" s="549" t="inlineStr">
        <is>
          <t>6个月</t>
        </is>
      </c>
      <c r="V83" s="549" t="inlineStr">
        <is>
          <t>计算机科学与技术</t>
        </is>
      </c>
      <c r="W83" s="551" t="inlineStr">
        <is>
          <t>2013年06</t>
        </is>
      </c>
      <c r="X83" s="549" t="inlineStr">
        <is>
          <t>全日制本科</t>
        </is>
      </c>
      <c r="Y83" s="549" t="inlineStr">
        <is>
          <t>breathe1103@163.com</t>
        </is>
      </c>
      <c r="Z83" s="549" t="inlineStr">
        <is>
          <t>河南省灵宝市豫灵镇文峪村当巷组206号</t>
        </is>
      </c>
      <c r="AA83" s="549" t="inlineStr">
        <is>
          <t xml:space="preserve"> 北京市昌平区百善镇上东廓村 </t>
        </is>
      </c>
      <c r="AB83" s="197" t="inlineStr">
        <is>
          <t>，15890275966</t>
        </is>
      </c>
      <c r="AC83" s="556" t="inlineStr">
        <is>
          <t>411282199109297033</t>
        </is>
      </c>
      <c r="AD83" s="556" t="inlineStr">
        <is>
          <t>6217002540003570550</t>
        </is>
      </c>
      <c r="AE83" s="549" t="inlineStr">
        <is>
          <t>中国建设银行</t>
        </is>
      </c>
      <c r="AG83" s="549" t="inlineStr">
        <is>
          <t>否</t>
        </is>
      </c>
      <c r="AH83" s="552" t="inlineStr">
        <is>
          <t>第一次劳动合同：3年：2024年10月23日至2027年10月22日</t>
        </is>
      </c>
      <c r="AI83" s="82">
        <f>DATEDIF(--TEXT(MID(AC83,7,8),"0-00-00"),TODAY(),"y")</f>
        <v/>
      </c>
      <c r="AJ83" s="548">
        <f>TEXT(MID(AC83,7,8),"0000-00-00")</f>
        <v/>
      </c>
      <c r="AK83" s="95">
        <f>CHOOSE(MONTH(AJ83),1,1,1,2,2,2,3,3,3,4,4,4)</f>
        <v/>
      </c>
    </row>
    <row r="84" ht="181" customFormat="1" customHeight="1" s="532">
      <c r="A84" s="82" t="n">
        <v>33</v>
      </c>
      <c r="B84" s="532" t="inlineStr">
        <is>
          <t>毛楠</t>
        </is>
      </c>
      <c r="C84" s="532" t="inlineStr">
        <is>
          <t>南京文石</t>
        </is>
      </c>
      <c r="D84" s="532" t="inlineStr">
        <is>
          <t>男</t>
        </is>
      </c>
      <c r="E84" s="532" t="n">
        <v>18000</v>
      </c>
      <c r="F84" s="541" t="inlineStr">
        <is>
          <t>工资14400/18K,短期项目6个月支撑，20251126转长期了
第一个月8折，试用期2个月 
无其他补贴，无其他费用</t>
        </is>
      </c>
      <c r="G84" s="541" t="inlineStr">
        <is>
          <t>材料齐全
已回寄员工
2024.10.24-2025.4.23第一份合同
2025.4.23-2025年9月底预计合同已签署，2025.9.26-2025年12月底预计合同已签署</t>
        </is>
      </c>
      <c r="H84" s="570" t="inlineStr">
        <is>
          <t>QNX测试工程师</t>
        </is>
      </c>
      <c r="I84" s="533" t="n">
        <v>45589</v>
      </c>
      <c r="J84" s="547" t="inlineStr">
        <is>
          <t>/</t>
        </is>
      </c>
      <c r="K84" s="547" t="inlineStr">
        <is>
          <t>2024/11/23开始转正工资
试用期时间2个月</t>
        </is>
      </c>
      <c r="L84" s="534" t="n">
        <v>45597</v>
      </c>
      <c r="M84" s="532" t="inlineStr">
        <is>
          <t>南京</t>
        </is>
      </c>
      <c r="N84" s="532" t="inlineStr">
        <is>
          <t>南京</t>
        </is>
      </c>
      <c r="O84" s="532" t="n">
        <v>14400</v>
      </c>
      <c r="P84" s="532" t="n">
        <v>18000</v>
      </c>
      <c r="Q84" s="532" t="n">
        <v>0</v>
      </c>
      <c r="R84" s="532" t="n">
        <v>0</v>
      </c>
      <c r="S84" s="532" t="n">
        <v>0</v>
      </c>
      <c r="T84" s="541" t="inlineStr">
        <is>
          <t>第一次合同：6个月
2024/10/24-2025/4/23</t>
        </is>
      </c>
      <c r="U84" s="541" t="inlineStr">
        <is>
          <t>2个月
第一个月8折</t>
        </is>
      </c>
      <c r="V84" s="532" t="inlineStr">
        <is>
          <t>光电信息工程</t>
        </is>
      </c>
      <c r="W84" s="533" t="n">
        <v>42156</v>
      </c>
      <c r="X84" s="532" t="inlineStr">
        <is>
          <t>本科</t>
        </is>
      </c>
      <c r="Y84" s="563" t="inlineStr">
        <is>
          <t>1528823669@qq.com</t>
        </is>
      </c>
      <c r="Z84" s="532" t="inlineStr">
        <is>
          <t>山西省长子县鲍店镇西街村034号</t>
        </is>
      </c>
      <c r="AA84" s="532" t="inlineStr">
        <is>
          <t>南京栖霞区兴智路兴智科技园A栋19楼</t>
        </is>
      </c>
      <c r="AB84" s="82" t="inlineStr">
        <is>
          <t>，17625938469</t>
        </is>
      </c>
      <c r="AC84" s="546" t="inlineStr">
        <is>
          <t>140428199108061236</t>
        </is>
      </c>
      <c r="AD84" s="546" t="inlineStr">
        <is>
          <t>6217001370060133907</t>
        </is>
      </c>
      <c r="AE84" s="532" t="inlineStr">
        <is>
          <t>中国建设银行</t>
        </is>
      </c>
      <c r="AG84" s="532" t="inlineStr">
        <is>
          <t>是</t>
        </is>
      </c>
      <c r="AH84" s="547" t="inlineStr">
        <is>
          <t>第一次合同
2024/10/24-2025/4/23
第二次合同
毛楠续约2025.4.23-9.22预计5个月
第三次合同-已签署放弃长期合同
毛楠续约2025.9.25-短期不固定预计12月底，没敢写日期，写的宽泛
第四次合同：转长期了3年2026.1.12-2029.1.11</t>
        </is>
      </c>
      <c r="AI84" s="82">
        <f>DATEDIF(--TEXT(MID(AC84,7,8),"0-00-00"),TODAY(),"y")</f>
        <v/>
      </c>
      <c r="AJ84" s="548">
        <f>TEXT(MID(AC84,7,8),"0000-00-00")</f>
        <v/>
      </c>
      <c r="AK84" s="95">
        <f>CHOOSE(MONTH(AJ84),1,1,1,2,2,2,3,3,3,4,4,4)</f>
        <v/>
      </c>
    </row>
    <row r="85" customFormat="1" s="549">
      <c r="A85" s="197" t="n">
        <v>39</v>
      </c>
      <c r="B85" s="550" t="inlineStr">
        <is>
          <t>龚鹏海-
（2025年10 月17号，项目不续签结束）</t>
        </is>
      </c>
      <c r="C85" s="550" t="inlineStr">
        <is>
          <t>南京文石</t>
        </is>
      </c>
      <c r="D85" s="549" t="inlineStr">
        <is>
          <t>男</t>
        </is>
      </c>
      <c r="E85" s="549" t="n">
        <v>8000</v>
      </c>
      <c r="F85" s="550" t="inlineStr">
        <is>
          <t>工资6400/8K,
短期项目6个月支撑  试用期2个月 第一个月8折 无其他补贴，无其他费用</t>
        </is>
      </c>
      <c r="G85" s="550" t="inlineStr">
        <is>
          <t xml:space="preserve">材料齐全
已回寄员工
</t>
        </is>
      </c>
      <c r="H85" s="549" t="inlineStr">
        <is>
          <t>软件运维工程师</t>
        </is>
      </c>
      <c r="I85" s="551" t="n">
        <v>45593</v>
      </c>
      <c r="J85" s="552" t="inlineStr">
        <is>
          <t>2025/10/17
lastday 剩余调休一天25年10月账单中已确认，需要25年11月工资发给他，创达无赔偿结算天数。</t>
        </is>
      </c>
      <c r="K85" s="551" t="inlineStr">
        <is>
          <t>2024/11/27开始转正工资
试用期时间6个月</t>
        </is>
      </c>
      <c r="L85" s="553" t="n">
        <v>45597</v>
      </c>
      <c r="M85" s="549" t="inlineStr">
        <is>
          <t>南京</t>
        </is>
      </c>
      <c r="N85" s="549" t="inlineStr">
        <is>
          <t>南京
-
202506月转缴纳杭州</t>
        </is>
      </c>
      <c r="O85" s="554" t="n">
        <v>6400</v>
      </c>
      <c r="P85" s="554" t="n">
        <v>8000</v>
      </c>
      <c r="Q85" s="532" t="n">
        <v>0</v>
      </c>
      <c r="R85" s="532" t="n">
        <v>0</v>
      </c>
      <c r="S85" s="532" t="n">
        <v>0</v>
      </c>
      <c r="T85" s="550" t="inlineStr">
        <is>
          <t>第一次合同：6个月
2024/10/28-2025/4/27</t>
        </is>
      </c>
      <c r="U85" s="549" t="inlineStr">
        <is>
          <t>2个月
第一个月8折</t>
        </is>
      </c>
      <c r="V85" s="549" t="inlineStr">
        <is>
          <t>计算机科学与技术</t>
        </is>
      </c>
      <c r="W85" s="551" t="n">
        <v>44348</v>
      </c>
      <c r="X85" s="549" t="inlineStr">
        <is>
          <t>本科</t>
        </is>
      </c>
      <c r="Y85" s="549" t="inlineStr">
        <is>
          <t>17629858525@163.com</t>
        </is>
      </c>
      <c r="Z85" s="549" t="inlineStr">
        <is>
          <t>河南省淮阳县城关回族镇贾庄村龚庄东组148号</t>
        </is>
      </c>
      <c r="AA85" s="549" t="inlineStr">
        <is>
          <t>南京栖霞区兴智路兴智科技园A栋19楼</t>
        </is>
      </c>
      <c r="AB85" s="197" t="inlineStr">
        <is>
          <t>，17629858525</t>
        </is>
      </c>
      <c r="AC85" s="556" t="inlineStr">
        <is>
          <t>411626200211260436</t>
        </is>
      </c>
      <c r="AD85" s="556" t="inlineStr">
        <is>
          <t>6216732510000110808</t>
        </is>
      </c>
      <c r="AE85" s="549" t="inlineStr">
        <is>
          <t>中国建设银行</t>
        </is>
      </c>
      <c r="AG85" s="549" t="inlineStr">
        <is>
          <t>否</t>
        </is>
      </c>
      <c r="AH85" s="552" t="inlineStr">
        <is>
          <t>第一次合同：短期6个月：
2024/10/28-2025/4/27
第二次合同：短期项目制
续约2025.4.27-9.26预计5个月
龚鹏海已续约到25年9月底，短期续约后应该结束
龚鹏海已确认从25年9月底续签至12月没问题，从9.27日涨薪1k，合同还没续签，合同稍等等,这周确认会不会续签,最终不续签-最终lastday:2025年10 月17号，员工个人离职申请邮件已发，文石给员工无赔偿，创达给文石无赔偿。</t>
        </is>
      </c>
      <c r="AI85" s="82">
        <f>DATEDIF(--TEXT(MID(AC85,7,8),"0-00-00"),TODAY(),"y")</f>
        <v/>
      </c>
      <c r="AJ85" s="548">
        <f>TEXT(MID(AC85,7,8),"0000-00-00")</f>
        <v/>
      </c>
      <c r="AK85" s="95">
        <f>CHOOSE(MONTH(AJ85),1,1,1,2,2,2,3,3,3,4,4,4)</f>
        <v/>
      </c>
    </row>
    <row r="86" customFormat="1" s="549">
      <c r="A86" s="197" t="n">
        <v>84</v>
      </c>
      <c r="B86" s="550" t="inlineStr">
        <is>
          <t>耿月坤
（放弃入职）</t>
        </is>
      </c>
      <c r="C86" s="550" t="inlineStr">
        <is>
          <t>/</t>
        </is>
      </c>
      <c r="D86" s="549" t="inlineStr">
        <is>
          <t>男</t>
        </is>
      </c>
      <c r="E86" s="549" t="n">
        <v>11000</v>
      </c>
      <c r="F86" s="550" t="inlineStr">
        <is>
          <t>工资11K,短期项目六个月支撑  试用期2个月 第一个月8折 无其他补贴，无其他费用</t>
        </is>
      </c>
      <c r="G86" s="550" t="inlineStr">
        <is>
          <t>放弃入职</t>
        </is>
      </c>
      <c r="H86" s="549" t="inlineStr">
        <is>
          <t>软件运维工程师</t>
        </is>
      </c>
      <c r="I86" s="551" t="n">
        <v>45595</v>
      </c>
      <c r="J86" s="551" t="inlineStr">
        <is>
          <t>放弃入职</t>
        </is>
      </c>
      <c r="K86" s="551" t="inlineStr">
        <is>
          <t>/</t>
        </is>
      </c>
      <c r="L86" s="553" t="inlineStr">
        <is>
          <t>/</t>
        </is>
      </c>
      <c r="M86" s="549" t="inlineStr">
        <is>
          <t>南京</t>
        </is>
      </c>
      <c r="N86" s="549" t="inlineStr">
        <is>
          <t>南京</t>
        </is>
      </c>
      <c r="O86" s="554" t="n">
        <v>8800</v>
      </c>
      <c r="P86" s="554" t="n">
        <v>11000</v>
      </c>
      <c r="Q86" s="532" t="n">
        <v>0</v>
      </c>
      <c r="R86" s="532" t="n">
        <v>0</v>
      </c>
      <c r="S86" s="532" t="n">
        <v>0</v>
      </c>
      <c r="T86" s="549" t="inlineStr">
        <is>
          <t>/</t>
        </is>
      </c>
      <c r="U86" s="549" t="inlineStr">
        <is>
          <t>/</t>
        </is>
      </c>
      <c r="V86" s="549" t="inlineStr">
        <is>
          <t>/</t>
        </is>
      </c>
      <c r="W86" s="551" t="inlineStr">
        <is>
          <t>/</t>
        </is>
      </c>
      <c r="X86" s="549" t="inlineStr">
        <is>
          <t>/</t>
        </is>
      </c>
      <c r="Y86" s="566" t="inlineStr">
        <is>
          <t>18043583776@163.com</t>
        </is>
      </c>
      <c r="Z86" s="549" t="inlineStr">
        <is>
          <t>/</t>
        </is>
      </c>
      <c r="AA86" s="549" t="inlineStr">
        <is>
          <t>/</t>
        </is>
      </c>
      <c r="AB86" s="197" t="inlineStr">
        <is>
          <t>，18351487559</t>
        </is>
      </c>
      <c r="AC86" s="556" t="inlineStr">
        <is>
          <t>320928200003121518</t>
        </is>
      </c>
      <c r="AD86" s="549" t="inlineStr">
        <is>
          <t>/</t>
        </is>
      </c>
      <c r="AE86" s="549" t="inlineStr">
        <is>
          <t>/</t>
        </is>
      </c>
      <c r="AG86" s="549" t="inlineStr">
        <is>
          <t>否</t>
        </is>
      </c>
      <c r="AH86" s="551" t="inlineStr">
        <is>
          <t>离职啦</t>
        </is>
      </c>
      <c r="AI86" s="82">
        <f>DATEDIF(--TEXT(MID(AC86,7,8),"0-00-00"),TODAY(),"y")</f>
        <v/>
      </c>
      <c r="AJ86" s="548">
        <f>TEXT(MID(AC86,7,8),"0000-00-00")</f>
        <v/>
      </c>
      <c r="AK86" s="95">
        <f>CHOOSE(MONTH(AJ86),1,1,1,2,2,2,3,3,3,4,4,4)</f>
        <v/>
      </c>
    </row>
    <row r="87" customFormat="1" s="549">
      <c r="A87" s="197" t="n">
        <v>85</v>
      </c>
      <c r="B87" s="550" t="inlineStr">
        <is>
          <t>吴大胜
（2024年11月8日已离职）</t>
        </is>
      </c>
      <c r="C87" s="550" t="inlineStr">
        <is>
          <t>/</t>
        </is>
      </c>
      <c r="D87" s="549" t="inlineStr">
        <is>
          <t>男</t>
        </is>
      </c>
      <c r="E87" s="549" t="n">
        <v>16000</v>
      </c>
      <c r="F87" s="550" t="inlineStr">
        <is>
          <t>工资12800/16K,短期项目六个月支撑  试用期2个月 第一个月8折 无其他补贴，无其他费用</t>
        </is>
      </c>
      <c r="G87" s="550" t="inlineStr">
        <is>
          <t>已邮寄未回寄</t>
        </is>
      </c>
      <c r="H87" s="549" t="inlineStr">
        <is>
          <t>嵌入式测试开发工程师</t>
        </is>
      </c>
      <c r="I87" s="551" t="n">
        <v>45595</v>
      </c>
      <c r="J87" s="551" t="inlineStr">
        <is>
          <t>（2024年11月8日离职）</t>
        </is>
      </c>
      <c r="K87" s="551" t="inlineStr">
        <is>
          <t>/</t>
        </is>
      </c>
      <c r="L87" s="553" t="inlineStr">
        <is>
          <t>/</t>
        </is>
      </c>
      <c r="M87" s="549" t="inlineStr">
        <is>
          <t>南京</t>
        </is>
      </c>
      <c r="N87" s="549" t="inlineStr">
        <is>
          <t>南京</t>
        </is>
      </c>
      <c r="O87" s="554" t="n">
        <v>12800</v>
      </c>
      <c r="P87" s="554" t="n">
        <v>16000</v>
      </c>
      <c r="Q87" s="532" t="n">
        <v>0</v>
      </c>
      <c r="R87" s="532" t="n">
        <v>0</v>
      </c>
      <c r="S87" s="532" t="n">
        <v>0</v>
      </c>
      <c r="T87" s="549" t="inlineStr">
        <is>
          <t>/</t>
        </is>
      </c>
      <c r="U87" s="549" t="inlineStr">
        <is>
          <t>/</t>
        </is>
      </c>
      <c r="V87" s="549" t="inlineStr">
        <is>
          <t>/</t>
        </is>
      </c>
      <c r="W87" s="551" t="inlineStr">
        <is>
          <t>/</t>
        </is>
      </c>
      <c r="X87" s="549" t="inlineStr">
        <is>
          <t>/</t>
        </is>
      </c>
      <c r="Y87" s="566" t="inlineStr">
        <is>
          <t>dashengbrother@163.com</t>
        </is>
      </c>
      <c r="Z87" s="549" t="inlineStr">
        <is>
          <t>/</t>
        </is>
      </c>
      <c r="AA87" s="549" t="inlineStr">
        <is>
          <t>/</t>
        </is>
      </c>
      <c r="AB87" s="197" t="inlineStr">
        <is>
          <t>，15298357610</t>
        </is>
      </c>
      <c r="AC87" s="556" t="inlineStr">
        <is>
          <t>320924199401084838</t>
        </is>
      </c>
      <c r="AD87" s="549" t="inlineStr">
        <is>
          <t>/</t>
        </is>
      </c>
      <c r="AE87" s="549" t="inlineStr">
        <is>
          <t>/</t>
        </is>
      </c>
      <c r="AG87" s="549" t="inlineStr">
        <is>
          <t>否</t>
        </is>
      </c>
      <c r="AH87" s="551" t="inlineStr">
        <is>
          <t>离职啦</t>
        </is>
      </c>
      <c r="AI87" s="82">
        <f>DATEDIF(--TEXT(MID(AC87,7,8),"0-00-00"),TODAY(),"y")</f>
        <v/>
      </c>
      <c r="AJ87" s="548">
        <f>TEXT(MID(AC87,7,8),"0000-00-00")</f>
        <v/>
      </c>
      <c r="AK87" s="95">
        <f>CHOOSE(MONTH(AJ87),1,1,1,2,2,2,3,3,3,4,4,4)</f>
        <v/>
      </c>
    </row>
    <row r="88" customFormat="1" s="532">
      <c r="A88" s="82" t="n">
        <v>34</v>
      </c>
      <c r="B88" s="541" t="inlineStr">
        <is>
          <t>康宏菲</t>
        </is>
      </c>
      <c r="C88" s="541" t="inlineStr">
        <is>
          <t>上海文石</t>
        </is>
      </c>
      <c r="D88" s="532" t="inlineStr">
        <is>
          <t>男</t>
        </is>
      </c>
      <c r="E88" s="532">
        <f>18000+1500</f>
        <v/>
      </c>
      <c r="F88" s="541" t="inlineStr">
        <is>
          <t xml:space="preserve">工资18K,签订2个月合同2024/10/30-2024/12/30，无试用期不打折，无其他补贴，无其他费用。
康宏菲自2026年5月起涨薪1500元，现在工资18000+1500=19500
</t>
        </is>
      </c>
      <c r="G88" s="541" t="inlineStr">
        <is>
          <t>材料齐全
已回寄员工</t>
        </is>
      </c>
      <c r="H88" s="532" t="inlineStr">
        <is>
          <t>自动驾驶实车系统验证工程师</t>
        </is>
      </c>
      <c r="I88" s="533" t="n">
        <v>45595</v>
      </c>
      <c r="J88" s="533" t="inlineStr">
        <is>
          <t>/</t>
        </is>
      </c>
      <c r="K88" s="533" t="inlineStr">
        <is>
          <t>无试用期</t>
        </is>
      </c>
      <c r="L88" s="534" t="n">
        <v>45597</v>
      </c>
      <c r="M88" s="532" t="inlineStr">
        <is>
          <t>上海</t>
        </is>
      </c>
      <c r="N88" s="532" t="inlineStr">
        <is>
          <t>上海</t>
        </is>
      </c>
      <c r="O88" s="532" t="inlineStr">
        <is>
          <t>无试用期</t>
        </is>
      </c>
      <c r="P88" s="532" t="n">
        <v>18000</v>
      </c>
      <c r="Q88" s="532" t="n">
        <v>0</v>
      </c>
      <c r="R88" s="532" t="n">
        <v>0</v>
      </c>
      <c r="S88" s="532" t="n">
        <v>0</v>
      </c>
      <c r="T88" s="541" t="inlineStr">
        <is>
          <t>第一次合同：短期2个月：2024/10/30-2024/12/30
第二次合同：1年：
2024.12.31-2025.12.30</t>
        </is>
      </c>
      <c r="U88" s="532" t="inlineStr">
        <is>
          <t>0个月</t>
        </is>
      </c>
      <c r="V88" s="532" t="inlineStr">
        <is>
          <t>计算机科学与技术</t>
        </is>
      </c>
      <c r="W88" s="533" t="n">
        <v>41821</v>
      </c>
      <c r="X88" s="532" t="inlineStr">
        <is>
          <t>本科</t>
        </is>
      </c>
      <c r="Y88" s="563" t="inlineStr">
        <is>
          <t>13761036752@163.com</t>
        </is>
      </c>
      <c r="Z88" s="532" t="inlineStr">
        <is>
          <t>河南省伊川县葛寨乡后富山村八组</t>
        </is>
      </c>
      <c r="AA88" s="541" t="inlineStr">
        <is>
          <t>上海浦东新区创新中路199弄13号102室
康宏菲:13761036752</t>
        </is>
      </c>
      <c r="AB88" s="82" t="inlineStr">
        <is>
          <t>，13761036752</t>
        </is>
      </c>
      <c r="AC88" s="546" t="inlineStr">
        <is>
          <t>410329199110053717</t>
        </is>
      </c>
      <c r="AD88" s="546" t="inlineStr">
        <is>
          <t>6217001180085232547</t>
        </is>
      </c>
      <c r="AE88" s="532" t="inlineStr">
        <is>
          <t>中国建设银行</t>
        </is>
      </c>
      <c r="AG88" s="532" t="inlineStr">
        <is>
          <t>是</t>
        </is>
      </c>
      <c r="AH88" s="547" t="inlineStr">
        <is>
          <t>第一次合同：短期2个月：2024/10/30-2024/12/30
第二次合同：1年：中途转签上海2024.12.31-2025.12.30
第三次合同：上海文石-3年：2025.12.31-2028.12.30</t>
        </is>
      </c>
      <c r="AI88" s="82">
        <f>DATEDIF(--TEXT(MID(AC88,7,8),"0-00-00"),TODAY(),"y")</f>
        <v/>
      </c>
      <c r="AJ88" s="548">
        <f>TEXT(MID(AC88,7,8),"0000-00-00")</f>
        <v/>
      </c>
      <c r="AK88" s="95">
        <f>CHOOSE(MONTH(AJ88),1,1,1,2,2,2,3,3,3,4,4,4)</f>
        <v/>
      </c>
    </row>
    <row r="89" customFormat="1" s="549">
      <c r="A89" s="197" t="n">
        <v>87</v>
      </c>
      <c r="B89" s="550" t="inlineStr">
        <is>
          <t>张明月
（2025年5月9日已离职）</t>
        </is>
      </c>
      <c r="C89" s="550" t="inlineStr">
        <is>
          <t>/</t>
        </is>
      </c>
      <c r="D89" s="549" t="inlineStr">
        <is>
          <t>女</t>
        </is>
      </c>
      <c r="E89" s="549" t="n">
        <v>16000</v>
      </c>
      <c r="F89" s="550" t="inlineStr">
        <is>
          <t>工资：12.8K/16K
签1年合同 试用期2个月 前2个月打八折
11月4号入职
没有别的补贴</t>
        </is>
      </c>
      <c r="G89" s="550" t="inlineStr">
        <is>
          <t>材料齐全
已回寄员工
张明月 项目上lastday是5月9日
文石赔偿到5月24日即16000元，再加2天交接工资，且缴纳5月五险一金</t>
        </is>
      </c>
      <c r="H89" s="549" t="inlineStr">
        <is>
          <t>QNX测试工程师</t>
        </is>
      </c>
      <c r="I89" s="551" t="inlineStr">
        <is>
          <t>2024年11月4号</t>
        </is>
      </c>
      <c r="J89" s="552" t="inlineStr">
        <is>
          <t>张明月 项目上lastday是5月9日
文石赔偿到5月24日即16000元，
再加2天交接工资，且缴纳5月五险一金</t>
        </is>
      </c>
      <c r="K89" s="551" t="inlineStr">
        <is>
          <t>2025年2月3号</t>
        </is>
      </c>
      <c r="L89" s="553" t="n">
        <v>45597</v>
      </c>
      <c r="M89" s="549" t="inlineStr">
        <is>
          <t>北京</t>
        </is>
      </c>
      <c r="N89" s="549" t="inlineStr">
        <is>
          <t>北京</t>
        </is>
      </c>
      <c r="O89" s="554" t="inlineStr">
        <is>
          <t>12.8K</t>
        </is>
      </c>
      <c r="P89" s="554" t="inlineStr">
        <is>
          <t>16K</t>
        </is>
      </c>
      <c r="Q89" s="532" t="n">
        <v>0</v>
      </c>
      <c r="R89" s="532" t="n">
        <v>0</v>
      </c>
      <c r="S89" s="532" t="n">
        <v>0</v>
      </c>
      <c r="T89" s="550" t="inlineStr">
        <is>
          <t>第一次合同：1年
2024/11/4-2025/11/3</t>
        </is>
      </c>
      <c r="U89" s="549" t="inlineStr">
        <is>
          <t>3个月</t>
        </is>
      </c>
      <c r="V89" s="549" t="inlineStr">
        <is>
          <t>汽车技术服务</t>
        </is>
      </c>
      <c r="W89" s="551" t="inlineStr">
        <is>
          <t>2014年06</t>
        </is>
      </c>
      <c r="X89" s="549" t="inlineStr">
        <is>
          <t>大专</t>
        </is>
      </c>
      <c r="Y89" s="549" t="inlineStr">
        <is>
          <t>201543409@qq.com</t>
        </is>
      </c>
      <c r="Z89" s="549" t="inlineStr">
        <is>
          <t>天津市蓟州区白涧镇杜吉素村2区6排2号</t>
        </is>
      </c>
      <c r="AA89" s="549" t="inlineStr">
        <is>
          <t xml:space="preserve"> 北京市海淀区万和嘉园6号楼  1单元  601号      </t>
        </is>
      </c>
      <c r="AB89" s="197" t="inlineStr">
        <is>
          <t>‘15822147350</t>
        </is>
      </c>
      <c r="AC89" s="556" t="inlineStr">
        <is>
          <t>120225199208072529</t>
        </is>
      </c>
      <c r="AD89" s="556" t="inlineStr">
        <is>
          <t>6217000010199438931</t>
        </is>
      </c>
      <c r="AE89" s="549" t="inlineStr">
        <is>
          <t>中国建设银行</t>
        </is>
      </c>
      <c r="AG89" s="549" t="inlineStr">
        <is>
          <t>否</t>
        </is>
      </c>
      <c r="AH89" s="552" t="inlineStr">
        <is>
          <t>离职啦</t>
        </is>
      </c>
      <c r="AI89" s="82">
        <f>DATEDIF(--TEXT(MID(AC89,7,8),"0-00-00"),TODAY(),"y")</f>
        <v/>
      </c>
      <c r="AJ89" s="548">
        <f>TEXT(MID(AC89,7,8),"0000-00-00")</f>
        <v/>
      </c>
      <c r="AK89" s="95">
        <f>CHOOSE(MONTH(AJ89),1,1,1,2,2,2,3,3,3,4,4,4)</f>
        <v/>
      </c>
    </row>
    <row r="90" customFormat="1" s="549">
      <c r="A90" s="197" t="n">
        <v>88</v>
      </c>
      <c r="B90" s="550" t="inlineStr">
        <is>
          <t>王勇军
（2025/2/28 已离职）</t>
        </is>
      </c>
      <c r="C90" s="550" t="inlineStr">
        <is>
          <t>/</t>
        </is>
      </c>
      <c r="D90" s="549" t="inlineStr">
        <is>
          <t>男</t>
        </is>
      </c>
      <c r="E90" s="549" t="n">
        <v>12600</v>
      </c>
      <c r="F90" s="550" t="inlineStr">
        <is>
          <t>工资12.6K,签订2个月合同，无试用期不打折，无其他补贴，无其他费用</t>
        </is>
      </c>
      <c r="G90" s="550" t="inlineStr">
        <is>
          <t>材料齐全,已回寄员工
2025/2/28 lastday主动离职
王勇军离职还有1.5天，调休需要发给他未发20250319</t>
        </is>
      </c>
      <c r="H90" s="549" t="inlineStr">
        <is>
          <t>自动驾驶实车系统验证工程师</t>
        </is>
      </c>
      <c r="I90" s="551" t="inlineStr">
        <is>
          <t>2024年11月4号</t>
        </is>
      </c>
      <c r="J90" s="552" t="inlineStr">
        <is>
          <t>2025/2/28 lastday
主动离职</t>
        </is>
      </c>
      <c r="K90" s="551" t="inlineStr">
        <is>
          <t>/</t>
        </is>
      </c>
      <c r="L90" s="553" t="n">
        <v>45597</v>
      </c>
      <c r="M90" s="549" t="inlineStr">
        <is>
          <t>北京</t>
        </is>
      </c>
      <c r="N90" s="549" t="inlineStr">
        <is>
          <t>北京</t>
        </is>
      </c>
      <c r="O90" s="554" t="inlineStr">
        <is>
          <t>无试用期</t>
        </is>
      </c>
      <c r="P90" s="554" t="n">
        <v>12600</v>
      </c>
      <c r="Q90" s="532" t="n">
        <v>0</v>
      </c>
      <c r="R90" s="532" t="n">
        <v>0</v>
      </c>
      <c r="S90" s="532" t="n">
        <v>0</v>
      </c>
      <c r="T90" s="550" t="inlineStr">
        <is>
          <t>第一次合同：
2024.11.4-2025.1.3
第二次合同：
2025.1.3-短期结束</t>
        </is>
      </c>
      <c r="U90" s="549" t="inlineStr">
        <is>
          <t>0个月</t>
        </is>
      </c>
      <c r="V90" s="549" t="inlineStr">
        <is>
          <t>新能源汽车技术</t>
        </is>
      </c>
      <c r="W90" s="551" t="inlineStr">
        <is>
          <t>2020年07</t>
        </is>
      </c>
      <c r="X90" s="549" t="inlineStr">
        <is>
          <t>大专</t>
        </is>
      </c>
      <c r="Y90" s="566" t="inlineStr">
        <is>
          <t>wyj2515302571@163.com</t>
        </is>
      </c>
      <c r="Z90" s="549" t="inlineStr">
        <is>
          <t>重庆市石柱县黄水镇洋洞坪组9号</t>
        </is>
      </c>
      <c r="AA90" s="550" t="inlineStr">
        <is>
          <t>北京市海淀区苏家坨镇聂各庄菜鸟驿站
王勇军电话:13108914188</t>
        </is>
      </c>
      <c r="AB90" s="197" t="inlineStr">
        <is>
          <t>，13108914188</t>
        </is>
      </c>
      <c r="AC90" s="556" t="inlineStr">
        <is>
          <t>500240199802056155</t>
        </is>
      </c>
      <c r="AD90" s="556" t="inlineStr">
        <is>
          <t>6215340302002814355</t>
        </is>
      </c>
      <c r="AE90" s="549" t="inlineStr">
        <is>
          <t>中国建设银行</t>
        </is>
      </c>
      <c r="AG90" s="549" t="inlineStr">
        <is>
          <t>否</t>
        </is>
      </c>
      <c r="AH90" s="552" t="inlineStr">
        <is>
          <t>离职啦</t>
        </is>
      </c>
      <c r="AI90" s="82">
        <f>DATEDIF(--TEXT(MID(AC90,7,8),"0-00-00"),TODAY(),"y")</f>
        <v/>
      </c>
      <c r="AJ90" s="548">
        <f>TEXT(MID(AC90,7,8),"0000-00-00")</f>
        <v/>
      </c>
      <c r="AK90" s="95">
        <f>CHOOSE(MONTH(AJ90),1,1,1,2,2,2,3,3,3,4,4,4)</f>
        <v/>
      </c>
    </row>
    <row r="91" customFormat="1" s="549">
      <c r="A91" s="197" t="n">
        <v>89</v>
      </c>
      <c r="B91" s="550" t="inlineStr">
        <is>
          <t>张帅
（2025/4/24日已离职）</t>
        </is>
      </c>
      <c r="C91" s="550" t="inlineStr">
        <is>
          <t>/</t>
        </is>
      </c>
      <c r="D91" s="549" t="inlineStr">
        <is>
          <t>男</t>
        </is>
      </c>
      <c r="E91" s="549" t="n">
        <v>10500</v>
      </c>
      <c r="F91" s="550" t="inlineStr">
        <is>
          <t>工资：9450/10500 
签3年合同 试用期6个月 前3个月打9折
前3个月试用期打9折
入职不满一年没有年假，可以先请假
 等后面有5天年假了在补偿扣除那一部分的钱 
体检入职满3个月就可以报销（汪总讲紧急的话1个月也可以）</t>
        </is>
      </c>
      <c r="G91" s="550" t="inlineStr">
        <is>
          <t>材料齐全
已回寄员工
文石发薪到2025/4/24日lastday
项目上2025/4月16日lastday
文石和创达结算多2周时间已放4月账单林娜未确认
离职协商离职补偿3000元
离职证明已发。被辞退的</t>
        </is>
      </c>
      <c r="H91" s="549" t="inlineStr">
        <is>
          <t>采集质检专员</t>
        </is>
      </c>
      <c r="I91" s="551" t="inlineStr">
        <is>
          <t>2024年11月11号</t>
        </is>
      </c>
      <c r="J91" s="552" t="inlineStr">
        <is>
          <t>文石发薪到2025/4/24日lastday
项目上2025/4月16日lastday
文石和创达结算多2周时间已放4月账单林娜已确认
离职协商离职补偿3000元
离职证明已发。被辞退的</t>
        </is>
      </c>
      <c r="K91" s="551" t="inlineStr">
        <is>
          <t>2025年5月10号</t>
        </is>
      </c>
      <c r="L91" s="553" t="inlineStr">
        <is>
          <t>北京</t>
        </is>
      </c>
      <c r="M91" s="549" t="inlineStr">
        <is>
          <t>北京</t>
        </is>
      </c>
      <c r="N91" s="549" t="inlineStr">
        <is>
          <t>北京</t>
        </is>
      </c>
      <c r="O91" s="554" t="n">
        <v>94500</v>
      </c>
      <c r="P91" s="554" t="n">
        <v>10500</v>
      </c>
      <c r="Q91" s="532" t="n">
        <v>0</v>
      </c>
      <c r="R91" s="532" t="n">
        <v>0</v>
      </c>
      <c r="S91" s="532" t="n">
        <v>0</v>
      </c>
      <c r="T91" s="550" t="inlineStr">
        <is>
          <t>第一次合同：3年
2024/11/11-2025/11/10</t>
        </is>
      </c>
      <c r="U91" s="549" t="inlineStr">
        <is>
          <t>6个月</t>
        </is>
      </c>
      <c r="V91" s="549" t="inlineStr">
        <is>
          <t>工商管理</t>
        </is>
      </c>
      <c r="W91" s="551" t="inlineStr">
        <is>
          <t>2021年06</t>
        </is>
      </c>
      <c r="X91" s="549" t="inlineStr">
        <is>
          <t>本科</t>
        </is>
      </c>
      <c r="Y91" s="557" t="inlineStr">
        <is>
          <t>1178469274@qq.com</t>
        </is>
      </c>
      <c r="Z91" s="549" t="inlineStr">
        <is>
          <t>北京市平谷区东高村镇鲍家庄大街北三巷8号</t>
        </is>
      </c>
      <c r="AA91" s="549" t="inlineStr">
        <is>
          <t>北京市海淀区高里掌路翠湖科技园3号院19号楼，张帅13126773811</t>
        </is>
      </c>
      <c r="AB91" s="197" t="inlineStr">
        <is>
          <t>‘13126773811</t>
        </is>
      </c>
      <c r="AC91" s="556" t="inlineStr">
        <is>
          <t>110226199703311413</t>
        </is>
      </c>
      <c r="AD91" s="556" t="inlineStr">
        <is>
          <t>6217000010194433788</t>
        </is>
      </c>
      <c r="AE91" s="549" t="inlineStr">
        <is>
          <t>中国建设银行</t>
        </is>
      </c>
      <c r="AG91" s="549" t="inlineStr">
        <is>
          <t>否</t>
        </is>
      </c>
      <c r="AH91" s="551" t="inlineStr">
        <is>
          <t>离职啦</t>
        </is>
      </c>
      <c r="AI91" s="82">
        <f>DATEDIF(--TEXT(MID(AC91,7,8),"0-00-00"),TODAY(),"y")</f>
        <v/>
      </c>
      <c r="AJ91" s="548">
        <f>TEXT(MID(AC91,7,8),"0000-00-00")</f>
        <v/>
      </c>
      <c r="AK91" s="95">
        <f>CHOOSE(MONTH(AJ91),1,1,1,2,2,2,3,3,3,4,4,4)</f>
        <v/>
      </c>
    </row>
    <row r="92" customFormat="1" s="549">
      <c r="A92" s="197" t="n">
        <v>90</v>
      </c>
      <c r="B92" s="550" t="inlineStr">
        <is>
          <t>皇伟
（2025.3月14日已离职）</t>
        </is>
      </c>
      <c r="C92" s="550" t="inlineStr">
        <is>
          <t>/</t>
        </is>
      </c>
      <c r="D92" s="549" t="inlineStr">
        <is>
          <t>男</t>
        </is>
      </c>
      <c r="E92" s="549" t="n">
        <v>22000</v>
      </c>
      <c r="F92" s="550" t="inlineStr">
        <is>
          <t>工资19800/22000
三年合同，试用期6个月，
前三个月9折
无其他补贴，无其他费用</t>
        </is>
      </c>
      <c r="G92" s="550" t="inlineStr">
        <is>
          <t>材料齐全
已回寄员工</t>
        </is>
      </c>
      <c r="H92" s="549" t="inlineStr">
        <is>
          <t>软件测试工程师</t>
        </is>
      </c>
      <c r="I92" s="551" t="n">
        <v>45607</v>
      </c>
      <c r="J92" s="552" t="inlineStr">
        <is>
          <t>皇伟2025.3月14日Lastday，
离职证明已发</t>
        </is>
      </c>
      <c r="K92" s="551" t="inlineStr">
        <is>
          <t>2025年5月10号</t>
        </is>
      </c>
      <c r="L92" s="553" t="n">
        <v>45597</v>
      </c>
      <c r="M92" s="549" t="inlineStr">
        <is>
          <t>南京</t>
        </is>
      </c>
      <c r="N92" s="549" t="inlineStr">
        <is>
          <t>南京</t>
        </is>
      </c>
      <c r="O92" s="554" t="n">
        <v>19800</v>
      </c>
      <c r="P92" s="554" t="n">
        <v>22000</v>
      </c>
      <c r="Q92" s="532" t="n">
        <v>0</v>
      </c>
      <c r="R92" s="532" t="n">
        <v>0</v>
      </c>
      <c r="S92" s="532" t="n">
        <v>0</v>
      </c>
      <c r="T92" s="550" t="inlineStr">
        <is>
          <t>第一次合同：3年
2024/11/11--2027/11/10</t>
        </is>
      </c>
      <c r="U92" s="549" t="inlineStr">
        <is>
          <t>6个月</t>
        </is>
      </c>
      <c r="V92" s="549" t="inlineStr">
        <is>
          <t>服装工艺</t>
        </is>
      </c>
      <c r="W92" s="551" t="inlineStr">
        <is>
          <t>2017年07</t>
        </is>
      </c>
      <c r="X92" s="549" t="inlineStr">
        <is>
          <t>大专</t>
        </is>
      </c>
      <c r="Y92" s="566" t="inlineStr">
        <is>
          <t>516780019@qq.com</t>
        </is>
      </c>
      <c r="Z92" s="549" t="inlineStr">
        <is>
          <t>河南省鹿邑县高集乡香施堂行政村香施堂000号</t>
        </is>
      </c>
      <c r="AA92" s="549" t="inlineStr">
        <is>
          <t>江苏省南京市栖霞区璀璨云著C幢</t>
        </is>
      </c>
      <c r="AB92" s="197" t="inlineStr">
        <is>
          <t>，17317621058</t>
        </is>
      </c>
      <c r="AC92" s="556" t="inlineStr">
        <is>
          <t>412725199301285711</t>
        </is>
      </c>
      <c r="AD92" s="556" t="inlineStr">
        <is>
          <t>6217001180012754415</t>
        </is>
      </c>
      <c r="AE92" s="549" t="inlineStr">
        <is>
          <t>中国建设银行</t>
        </is>
      </c>
      <c r="AF92" s="549" t="n"/>
      <c r="AG92" s="549" t="inlineStr">
        <is>
          <t>否</t>
        </is>
      </c>
      <c r="AH92" s="551" t="inlineStr">
        <is>
          <t>离职啦</t>
        </is>
      </c>
      <c r="AI92" s="82">
        <f>DATEDIF(--TEXT(MID(AC92,7,8),"0-00-00"),TODAY(),"y")</f>
        <v/>
      </c>
      <c r="AJ92" s="548">
        <f>TEXT(MID(AC92,7,8),"0000-00-00")</f>
        <v/>
      </c>
      <c r="AK92" s="95">
        <f>CHOOSE(MONTH(AJ92),1,1,1,2,2,2,3,3,3,4,4,4)</f>
        <v/>
      </c>
    </row>
    <row r="93" customFormat="1" s="549">
      <c r="A93" s="197" t="n">
        <v>91</v>
      </c>
      <c r="B93" s="550" t="inlineStr">
        <is>
          <t>刘泽
（2024.11.15 已离职）</t>
        </is>
      </c>
      <c r="C93" s="550" t="inlineStr">
        <is>
          <t>/</t>
        </is>
      </c>
      <c r="D93" s="549" t="inlineStr">
        <is>
          <t>男</t>
        </is>
      </c>
      <c r="E93" s="549" t="n">
        <v>15000</v>
      </c>
      <c r="F93" s="550" t="inlineStr">
        <is>
          <t>工资12000/15000
签订三年合同，试用期6个月，前三个月8折，
无其他补贴，无其他费用</t>
        </is>
      </c>
      <c r="G93" s="550" t="inlineStr">
        <is>
          <t>材料齐全
已回寄员工</t>
        </is>
      </c>
      <c r="H93" s="549" t="inlineStr">
        <is>
          <t>嵌入式测试开发工程师</t>
        </is>
      </c>
      <c r="I93" s="551" t="n">
        <v>45607</v>
      </c>
      <c r="J93" s="551" t="inlineStr">
        <is>
          <t>2024.11.15 lastday</t>
        </is>
      </c>
      <c r="K93" s="551" t="inlineStr">
        <is>
          <t>已离职</t>
        </is>
      </c>
      <c r="L93" s="553" t="inlineStr">
        <is>
          <t>已离职</t>
        </is>
      </c>
      <c r="M93" s="549" t="inlineStr">
        <is>
          <t>杭州</t>
        </is>
      </c>
      <c r="N93" s="549" t="inlineStr">
        <is>
          <t>杭州</t>
        </is>
      </c>
      <c r="O93" s="554" t="n">
        <v>12000</v>
      </c>
      <c r="P93" s="554" t="n">
        <v>15000</v>
      </c>
      <c r="Q93" s="532" t="n">
        <v>0</v>
      </c>
      <c r="R93" s="532" t="n">
        <v>0</v>
      </c>
      <c r="S93" s="532" t="n">
        <v>0</v>
      </c>
      <c r="T93" s="550" t="inlineStr">
        <is>
          <t>第一次合同：3年
2024/11/11-2027/11/10</t>
        </is>
      </c>
      <c r="U93" s="549" t="inlineStr">
        <is>
          <t>6个月</t>
        </is>
      </c>
      <c r="V93" s="549" t="inlineStr">
        <is>
          <t>电子信息工程技术</t>
        </is>
      </c>
      <c r="W93" s="551" t="inlineStr">
        <is>
          <t>2017年06</t>
        </is>
      </c>
      <c r="X93" s="549" t="inlineStr">
        <is>
          <t>大专</t>
        </is>
      </c>
      <c r="Y93" s="566" t="inlineStr">
        <is>
          <t>2650292643@qq.com</t>
        </is>
      </c>
      <c r="Z93" s="549" t="inlineStr">
        <is>
          <t>湖北省阳新县白沙镇石和村刘昱组34号</t>
        </is>
      </c>
      <c r="AA93" s="550" t="inlineStr">
        <is>
          <t>刘泽 手机号: 18106556097
杭州市拱墅区湖墅南路红石中央花苑如意居2栋一单元502</t>
        </is>
      </c>
      <c r="AB93" s="197" t="inlineStr">
        <is>
          <t>，18106556097</t>
        </is>
      </c>
      <c r="AC93" s="556" t="inlineStr">
        <is>
          <t>420222199505252819</t>
        </is>
      </c>
      <c r="AD93" s="556" t="inlineStr">
        <is>
          <t>6217001540032811620</t>
        </is>
      </c>
      <c r="AE93" s="549" t="inlineStr">
        <is>
          <t>中国建设银行</t>
        </is>
      </c>
      <c r="AG93" s="549" t="inlineStr">
        <is>
          <t>否</t>
        </is>
      </c>
      <c r="AH93" s="551" t="inlineStr">
        <is>
          <t>离职啦</t>
        </is>
      </c>
      <c r="AI93" s="82">
        <f>DATEDIF(--TEXT(MID(AC93,7,8),"0-00-00"),TODAY(),"y")</f>
        <v/>
      </c>
      <c r="AJ93" s="548">
        <f>TEXT(MID(AC93,7,8),"0000-00-00")</f>
        <v/>
      </c>
      <c r="AK93" s="95">
        <f>CHOOSE(MONTH(AJ93),1,1,1,2,2,2,3,3,3,4,4,4)</f>
        <v/>
      </c>
    </row>
    <row r="94" customFormat="1" s="532">
      <c r="A94" s="82" t="n">
        <v>35</v>
      </c>
      <c r="B94" s="532" t="inlineStr">
        <is>
          <t>杨永成</t>
        </is>
      </c>
      <c r="C94" s="532" t="inlineStr">
        <is>
          <t>上海文石</t>
        </is>
      </c>
      <c r="D94" s="532" t="inlineStr">
        <is>
          <t>男</t>
        </is>
      </c>
      <c r="E94" s="532" t="n">
        <v>16000</v>
      </c>
      <c r="F94" s="541" t="inlineStr">
        <is>
          <t>工资14400/16000
签订三年合同，试用期6个月，前三个9折，无其他补贴，无其他费用</t>
        </is>
      </c>
      <c r="G94" s="541" t="inlineStr">
        <is>
          <t>材料齐全
已回寄员工</t>
        </is>
      </c>
      <c r="H94" s="541" t="inlineStr">
        <is>
          <t>自动驾驶实车
系统验证工程师</t>
        </is>
      </c>
      <c r="I94" s="533" t="n">
        <v>45609</v>
      </c>
      <c r="J94" s="533" t="inlineStr">
        <is>
          <t>/</t>
        </is>
      </c>
      <c r="K94" s="533" t="inlineStr">
        <is>
          <t>2025年5月12号</t>
        </is>
      </c>
      <c r="L94" s="534" t="inlineStr">
        <is>
          <t>上海</t>
        </is>
      </c>
      <c r="M94" s="532" t="inlineStr">
        <is>
          <t>上海</t>
        </is>
      </c>
      <c r="N94" s="532" t="inlineStr">
        <is>
          <t>上海</t>
        </is>
      </c>
      <c r="O94" s="532" t="n">
        <v>12800</v>
      </c>
      <c r="P94" s="532" t="n">
        <v>16000</v>
      </c>
      <c r="Q94" s="532" t="n">
        <v>0</v>
      </c>
      <c r="R94" s="532" t="n">
        <v>0</v>
      </c>
      <c r="S94" s="532" t="n">
        <v>0</v>
      </c>
      <c r="T94" s="541" t="inlineStr">
        <is>
          <t>第一次合同：3年
2024/11/13-2027/11/12</t>
        </is>
      </c>
      <c r="U94" s="532" t="inlineStr">
        <is>
          <t>6个月</t>
        </is>
      </c>
      <c r="V94" s="82" t="inlineStr">
        <is>
          <t>计算机科学与技术</t>
        </is>
      </c>
      <c r="W94" s="533" t="inlineStr">
        <is>
          <t>2020年06</t>
        </is>
      </c>
      <c r="X94" s="532" t="inlineStr">
        <is>
          <t>本科</t>
        </is>
      </c>
      <c r="Y94" s="563" t="inlineStr">
        <is>
          <t>929860566@qq.com</t>
        </is>
      </c>
      <c r="Z94" s="82" t="inlineStr">
        <is>
          <t>安徽省淮南市谢家集区孝郢镇矿东村居委会6栋2号</t>
        </is>
      </c>
      <c r="AA94" s="217" t="inlineStr">
        <is>
          <t>上海青浦区白鹤镇时代名邸2期-63号楼1303室</t>
        </is>
      </c>
      <c r="AB94" s="82" t="inlineStr">
        <is>
          <t>，18694944005</t>
        </is>
      </c>
      <c r="AC94" s="546" t="inlineStr">
        <is>
          <t>34040419980630043X</t>
        </is>
      </c>
      <c r="AD94" s="546" t="inlineStr">
        <is>
          <t>6236681630003102005</t>
        </is>
      </c>
      <c r="AE94" s="532" t="inlineStr">
        <is>
          <t>中国建设银行</t>
        </is>
      </c>
      <c r="AG94" s="532" t="inlineStr">
        <is>
          <t>是</t>
        </is>
      </c>
      <c r="AH94" s="547" t="inlineStr">
        <is>
          <t>第一次劳动合同：3年：
2024/11/13-2027/11/12</t>
        </is>
      </c>
      <c r="AI94" s="82">
        <f>DATEDIF(--TEXT(MID(AC94,7,8),"0-00-00"),TODAY(),"y")</f>
        <v/>
      </c>
      <c r="AJ94" s="548">
        <f>TEXT(MID(AC94,7,8),"0000-00-00")</f>
        <v/>
      </c>
      <c r="AK94" s="95">
        <f>CHOOSE(MONTH(AJ94),1,1,1,2,2,2,3,3,3,4,4,4)</f>
        <v/>
      </c>
    </row>
    <row r="95" customFormat="1" s="549">
      <c r="A95" s="197" t="n">
        <v>93</v>
      </c>
      <c r="B95" s="550" t="inlineStr">
        <is>
          <t>潘自强
（2025年5月9日已离职）</t>
        </is>
      </c>
      <c r="C95" s="550" t="inlineStr">
        <is>
          <t>/</t>
        </is>
      </c>
      <c r="D95" s="549" t="inlineStr">
        <is>
          <t>男</t>
        </is>
      </c>
      <c r="E95" s="549" t="n">
        <v>21000</v>
      </c>
      <c r="F95" s="550" t="inlineStr">
        <is>
          <t>工资：18900/21000
签3年合同 试用期6个月 前3个月打9折
到岗时间：2024年11月18日入职 
试用期后面汪总讲给他申请打九折 合同还是按照八折的来，实际9折发放
2025年4月左右释放</t>
        </is>
      </c>
      <c r="G95" s="550" t="inlineStr">
        <is>
          <t>材料齐全
已回寄员工
潘自强项目lastday 2025年5月9日 文石赔偿半个月薪资，文石创达未定
离职证明已发送</t>
        </is>
      </c>
      <c r="H95" s="549" t="inlineStr">
        <is>
          <t>QNX测试工程师</t>
        </is>
      </c>
      <c r="I95" s="551" t="n">
        <v>45614</v>
      </c>
      <c r="J95" s="552" t="inlineStr">
        <is>
          <t>潘自强项目lastday 2025年5月9日 文石赔偿半个月薪资，文石创达未定
离职证明已发送</t>
        </is>
      </c>
      <c r="K95" s="551" t="inlineStr">
        <is>
          <t>2025年4月左右释放</t>
        </is>
      </c>
      <c r="L95" s="553" t="n">
        <v>45627</v>
      </c>
      <c r="M95" s="549" t="inlineStr">
        <is>
          <t>杭州</t>
        </is>
      </c>
      <c r="N95" s="549" t="inlineStr">
        <is>
          <t>杭州</t>
        </is>
      </c>
      <c r="O95" s="554" t="n">
        <v>18900</v>
      </c>
      <c r="P95" s="554" t="inlineStr">
        <is>
          <t>21K</t>
        </is>
      </c>
      <c r="Q95" s="532" t="n">
        <v>0</v>
      </c>
      <c r="R95" s="532" t="n">
        <v>0</v>
      </c>
      <c r="S95" s="532" t="n">
        <v>0</v>
      </c>
      <c r="T95" s="550" t="inlineStr">
        <is>
          <t>第一次合同：3年
2024/11/18-2027/11/17</t>
        </is>
      </c>
      <c r="U95" s="549" t="inlineStr">
        <is>
          <t>6个月</t>
        </is>
      </c>
      <c r="V95" s="549" t="inlineStr">
        <is>
          <t>电子信息工程</t>
        </is>
      </c>
      <c r="W95" s="551" t="inlineStr">
        <is>
          <t>2015年06</t>
        </is>
      </c>
      <c r="X95" s="549" t="inlineStr">
        <is>
          <t>本科</t>
        </is>
      </c>
      <c r="Y95" s="549" t="inlineStr">
        <is>
          <t>1095819218@qq.com</t>
        </is>
      </c>
      <c r="Z95" s="197" t="inlineStr">
        <is>
          <t>浙江省乐清市乐成街道湖上岙村</t>
        </is>
      </c>
      <c r="AA95" s="197" t="inlineStr">
        <is>
          <t>杭州市滨江区物联网产业孵化器2号楼B座</t>
        </is>
      </c>
      <c r="AB95" s="197" t="inlineStr">
        <is>
          <t>’18072136377</t>
        </is>
      </c>
      <c r="AC95" s="556" t="inlineStr">
        <is>
          <t>331021199607251253</t>
        </is>
      </c>
      <c r="AD95" s="556" t="inlineStr">
        <is>
          <t>6217001540032937490</t>
        </is>
      </c>
      <c r="AE95" s="549" t="inlineStr">
        <is>
          <t>中国建设银行</t>
        </is>
      </c>
      <c r="AG95" s="549" t="inlineStr">
        <is>
          <t>否</t>
        </is>
      </c>
      <c r="AH95" s="552" t="inlineStr">
        <is>
          <t>离职啦</t>
        </is>
      </c>
      <c r="AI95" s="82">
        <f>DATEDIF(--TEXT(MID(AC95,7,8),"0-00-00"),TODAY(),"y")</f>
        <v/>
      </c>
      <c r="AJ95" s="548">
        <f>TEXT(MID(AC95,7,8),"0000-00-00")</f>
        <v/>
      </c>
      <c r="AK95" s="95">
        <f>CHOOSE(MONTH(AJ95),1,1,1,2,2,2,3,3,3,4,4,4)</f>
        <v/>
      </c>
    </row>
    <row r="96" ht="157" customFormat="1" customHeight="1" s="532">
      <c r="A96" s="82" t="n">
        <v>36</v>
      </c>
      <c r="B96" s="532" t="inlineStr">
        <is>
          <t>徐祥</t>
        </is>
      </c>
      <c r="C96" s="541" t="inlineStr">
        <is>
          <t>邦芒
2026年5月转上海文石</t>
        </is>
      </c>
      <c r="D96" s="532" t="inlineStr">
        <is>
          <t>男</t>
        </is>
      </c>
      <c r="E96" s="532" t="n">
        <v>18000</v>
      </c>
      <c r="F96" s="541" t="inlineStr">
        <is>
          <t>工资18K,签订3个月合同，无试用期不打折，无其他补贴，无其他费用</t>
        </is>
      </c>
      <c r="G96" s="541" t="inlineStr">
        <is>
          <t>材料齐全
已回寄员工
2024/11/18-2025/2/17短期
2025/2/18-短期结束预计是2025/6/30已续签，已回寄</t>
        </is>
      </c>
      <c r="H96" s="532" t="inlineStr">
        <is>
          <t>自动驾驶实车系统验证工程师</t>
        </is>
      </c>
      <c r="I96" s="533" t="n">
        <v>45614</v>
      </c>
      <c r="J96" s="533" t="inlineStr">
        <is>
          <t>/</t>
        </is>
      </c>
      <c r="K96" s="533" t="inlineStr">
        <is>
          <t>3个月合同</t>
        </is>
      </c>
      <c r="L96" s="534" t="n">
        <v>45627</v>
      </c>
      <c r="M96" s="532" t="inlineStr">
        <is>
          <t>上海</t>
        </is>
      </c>
      <c r="N96" s="532" t="inlineStr">
        <is>
          <t>上海</t>
        </is>
      </c>
      <c r="O96" s="532" t="inlineStr">
        <is>
          <t>无试用期</t>
        </is>
      </c>
      <c r="P96" s="532" t="n">
        <v>18000</v>
      </c>
      <c r="Q96" s="532" t="n">
        <v>0</v>
      </c>
      <c r="R96" s="532" t="n">
        <v>0</v>
      </c>
      <c r="S96" s="532" t="n">
        <v>0</v>
      </c>
      <c r="T96" s="541" t="inlineStr">
        <is>
          <t>第一次合同：短期2024/11/18-2025/2/17
第二次合同：短期2025/2/18-目前测试项目结束 预计周期3个月起，不固定合同已续签，（2025/6/30）已回寄员工一份</t>
        </is>
      </c>
      <c r="U96" s="532" t="inlineStr">
        <is>
          <t>0个月</t>
        </is>
      </c>
      <c r="V96" s="532" t="inlineStr">
        <is>
          <t>材料成型及控制工程</t>
        </is>
      </c>
      <c r="W96" s="533" t="inlineStr">
        <is>
          <t>2016年07</t>
        </is>
      </c>
      <c r="X96" s="532" t="inlineStr">
        <is>
          <t>本科</t>
        </is>
      </c>
      <c r="Y96" s="563" t="inlineStr">
        <is>
          <t>13774201965@163.com</t>
        </is>
      </c>
      <c r="Z96" s="218" t="inlineStr">
        <is>
          <t>江苏省昆山市花桥镇裕花
园16幢2802室</t>
        </is>
      </c>
      <c r="AA96" s="217" t="inlineStr">
        <is>
          <t>江苏省苏州昆山花集路店2389号</t>
        </is>
      </c>
      <c r="AB96" s="82" t="inlineStr">
        <is>
          <t>，13774201965</t>
        </is>
      </c>
      <c r="AC96" s="546" t="inlineStr">
        <is>
          <t>34262219920202795X</t>
        </is>
      </c>
      <c r="AD96" s="546" t="inlineStr">
        <is>
          <t>6217001210053609556</t>
        </is>
      </c>
      <c r="AE96" s="532" t="inlineStr">
        <is>
          <t>中国建设银行</t>
        </is>
      </c>
      <c r="AG96" s="532" t="inlineStr">
        <is>
          <t>是</t>
        </is>
      </c>
      <c r="AH96" s="547" t="inlineStr">
        <is>
          <t>第一次合同：南京文石-短期2024/11/18-2025/2/17
第二次合同：南京文石-短期2025/2/18-目前测试项目结束 预计周期3个月起，不固定合同已续签，（2025/6/30）已回寄员工一份
第三次合同：没签了，最终是约定到25年12月底，合同写的宽泛没续签了，要签署吗？最终转长期了不签署了吧，20260121记录。林娜账单中备注20251224转长期了！最终签署南京文石转上海文石合同【续签3年】转上海文石-徐祥20260506-20290505签署完成最新合同</t>
        </is>
      </c>
      <c r="AI96" s="82">
        <f>DATEDIF(--TEXT(MID(AC96,7,8),"0-00-00"),TODAY(),"y")</f>
        <v/>
      </c>
      <c r="AJ96" s="548">
        <f>TEXT(MID(AC96,7,8),"0000-00-00")</f>
        <v/>
      </c>
      <c r="AK96" s="95">
        <f>CHOOSE(MONTH(AJ96),1,1,1,2,2,2,3,3,3,4,4,4)</f>
        <v/>
      </c>
    </row>
    <row r="97" customFormat="1" s="82">
      <c r="A97" s="82" t="n">
        <v>37</v>
      </c>
      <c r="B97" s="82" t="inlineStr">
        <is>
          <t>袁剑</t>
        </is>
      </c>
      <c r="C97" s="82" t="inlineStr">
        <is>
          <t>上海文石</t>
        </is>
      </c>
      <c r="D97" s="82" t="inlineStr">
        <is>
          <t>男</t>
        </is>
      </c>
      <c r="E97" s="82" t="n">
        <v>11000</v>
      </c>
      <c r="F97" s="218" t="inlineStr">
        <is>
          <t>工资11K,签订5个月合同，无试用期不打折，无其他补贴，无其他费用</t>
        </is>
      </c>
      <c r="G97" s="541" t="inlineStr">
        <is>
          <t>材料齐全
已回寄员工
20241125-20250424第一份合同
后面续一年还是？客户没通知拖着</t>
        </is>
      </c>
      <c r="H97" s="82" t="inlineStr">
        <is>
          <t>智能驾驶整车改装工程师</t>
        </is>
      </c>
      <c r="I97" s="533" t="n">
        <v>45621</v>
      </c>
      <c r="J97" s="533" t="inlineStr">
        <is>
          <t>/</t>
        </is>
      </c>
      <c r="K97" s="533" t="inlineStr">
        <is>
          <t>无试用期</t>
        </is>
      </c>
      <c r="L97" s="534" t="n">
        <v>45627</v>
      </c>
      <c r="M97" s="532" t="inlineStr">
        <is>
          <t>上海</t>
        </is>
      </c>
      <c r="N97" s="82" t="inlineStr">
        <is>
          <t>上海</t>
        </is>
      </c>
      <c r="O97" s="82" t="inlineStr">
        <is>
          <t>无试用期</t>
        </is>
      </c>
      <c r="P97" s="82" t="n">
        <v>11000</v>
      </c>
      <c r="Q97" s="532" t="n">
        <v>0</v>
      </c>
      <c r="R97" s="532" t="n">
        <v>0</v>
      </c>
      <c r="S97" s="532" t="n">
        <v>0</v>
      </c>
      <c r="T97" s="218" t="inlineStr">
        <is>
          <t>第一次合同：短期
2024/11/25-2025/4/24短期5月
第二次合同：1年
2025.4.24-2026.4.23</t>
        </is>
      </c>
      <c r="U97" s="82" t="inlineStr">
        <is>
          <t>0个月</t>
        </is>
      </c>
      <c r="V97" s="82" t="inlineStr">
        <is>
          <t>汽车技术服务与营销</t>
        </is>
      </c>
      <c r="W97" s="533" t="inlineStr">
        <is>
          <t>2008年07</t>
        </is>
      </c>
      <c r="X97" s="82" t="inlineStr">
        <is>
          <t>大专</t>
        </is>
      </c>
      <c r="Y97" s="219" t="inlineStr">
        <is>
          <t>425059934@qq.com</t>
        </is>
      </c>
      <c r="Z97" s="82" t="inlineStr">
        <is>
          <t>江苏省泗阳县新袁镇袁集居委会公路组34号</t>
        </is>
      </c>
      <c r="AA97" s="217" t="inlineStr">
        <is>
          <t>上海市浦东新区合庆镇永红村胡家宅21号</t>
        </is>
      </c>
      <c r="AB97" s="82" t="inlineStr">
        <is>
          <t>，15821831896</t>
        </is>
      </c>
      <c r="AC97" s="494" t="inlineStr">
        <is>
          <t>321323198512301273</t>
        </is>
      </c>
      <c r="AD97" s="494" t="inlineStr">
        <is>
          <t>6217001210045590120</t>
        </is>
      </c>
      <c r="AE97" s="532" t="inlineStr">
        <is>
          <t>中国建设银行</t>
        </is>
      </c>
      <c r="AG97" s="82" t="inlineStr">
        <is>
          <t>是</t>
        </is>
      </c>
      <c r="AH97" s="541" t="inlineStr">
        <is>
          <t>第一次合同：短期2024/11/25-2025/4/24短期5月
第二次合同：一年2025.4.24-2026.4.23
第三次合同：【续签3年】上海文石-袁剑20260424-20290423签署完成最新合同</t>
        </is>
      </c>
      <c r="AI97" s="82">
        <f>DATEDIF(--TEXT(MID(AC97,7,8),"0-00-00"),TODAY(),"y")</f>
        <v/>
      </c>
      <c r="AJ97" s="548">
        <f>TEXT(MID(AC97,7,8),"0000-00-00")</f>
        <v/>
      </c>
      <c r="AK97" s="95">
        <f>CHOOSE(MONTH(AJ97),1,1,1,2,2,2,3,3,3,4,4,4)</f>
        <v/>
      </c>
    </row>
    <row r="98" ht="105" customFormat="1" customHeight="1" s="82">
      <c r="A98" s="82" t="n">
        <v>38</v>
      </c>
      <c r="B98" s="218" t="inlineStr">
        <is>
          <t>王超</t>
        </is>
      </c>
      <c r="C98" s="82" t="inlineStr">
        <is>
          <t>上海文石</t>
        </is>
      </c>
      <c r="D98" s="82" t="inlineStr">
        <is>
          <t>男</t>
        </is>
      </c>
      <c r="E98" s="82">
        <f>15000+1000+1500</f>
        <v/>
      </c>
      <c r="F98" s="218" t="inlineStr">
        <is>
          <t>工资由15K，2025年5月薪资涨薪变成16k,,签订5个月合同，无试用期不打折，无其他补贴，无其他费用，王超自2026年5月起涨薪1500元，现在工资16000+1500=17500</t>
        </is>
      </c>
      <c r="G98" s="541" t="inlineStr">
        <is>
          <t>材料齐全
已回寄员工
2024.11.27-2025/4/26合同第一段 薪资15k
 2025.4.26- 2026.4.25-合同第二段 涨薪1K为16k</t>
        </is>
      </c>
      <c r="H98" s="82" t="inlineStr">
        <is>
          <t>智能驾驶标定工程师</t>
        </is>
      </c>
      <c r="I98" s="533" t="n">
        <v>45623</v>
      </c>
      <c r="J98" s="533" t="inlineStr">
        <is>
          <t>/</t>
        </is>
      </c>
      <c r="K98" s="533" t="inlineStr">
        <is>
          <t>无试用期</t>
        </is>
      </c>
      <c r="L98" s="534" t="n">
        <v>45627</v>
      </c>
      <c r="M98" s="82" t="inlineStr">
        <is>
          <t>上海</t>
        </is>
      </c>
      <c r="N98" s="82" t="inlineStr">
        <is>
          <t>上海</t>
        </is>
      </c>
      <c r="O98" s="82" t="inlineStr">
        <is>
          <t>无试用期</t>
        </is>
      </c>
      <c r="P98" s="82" t="n">
        <v>15000</v>
      </c>
      <c r="Q98" s="532" t="n">
        <v>0</v>
      </c>
      <c r="R98" s="532" t="n">
        <v>0</v>
      </c>
      <c r="S98" s="532" t="n">
        <v>0</v>
      </c>
      <c r="T98" s="218" t="inlineStr">
        <is>
          <t>第一次合同：短期5个月2024.11.27-2025/4/26
第二次合同：1年：  2025.4.26- 2026.4.25- 涨薪1K,续签一年合同。</t>
        </is>
      </c>
      <c r="U98" s="82" t="inlineStr">
        <is>
          <t>0个月</t>
        </is>
      </c>
      <c r="V98" s="82" t="inlineStr">
        <is>
          <t>汽车检测与维修技术</t>
        </is>
      </c>
      <c r="W98" s="533" t="n">
        <v>42522</v>
      </c>
      <c r="X98" s="82" t="inlineStr">
        <is>
          <t>大专</t>
        </is>
      </c>
      <c r="Y98" s="219" t="inlineStr">
        <is>
          <t>1729267584@qq.com</t>
        </is>
      </c>
      <c r="Z98" s="82" t="inlineStr">
        <is>
          <t>吉林省长岭县利发盛镇胜利村胜利屯</t>
        </is>
      </c>
      <c r="AA98" s="217" t="inlineStr">
        <is>
          <t>上海市浦东新区张江镇法拉第路258弄6号楼</t>
        </is>
      </c>
      <c r="AB98" s="82" t="inlineStr">
        <is>
          <t>，17600012962</t>
        </is>
      </c>
      <c r="AC98" s="494" t="inlineStr">
        <is>
          <t>220722199404093214</t>
        </is>
      </c>
      <c r="AD98" s="494" t="inlineStr">
        <is>
          <t>6215340300007324313</t>
        </is>
      </c>
      <c r="AE98" s="532" t="inlineStr">
        <is>
          <t>中国建设银行</t>
        </is>
      </c>
      <c r="AG98" s="82" t="inlineStr">
        <is>
          <t>是</t>
        </is>
      </c>
      <c r="AH98" s="547" t="inlineStr">
        <is>
          <t>第一次合同：短期5个月2024.11.27-2025/4/26
第二次合同：1年：  2025.4.26- 2026.4.25- 涨薪1K,续签一年合同。20250425林娜账单备注转长期了，同时报价+1k
第三次合同：3年：【续签3年】上海文石-王超20260426-20290425签署完成最新合同</t>
        </is>
      </c>
      <c r="AI98" s="82">
        <f>DATEDIF(--TEXT(MID(AC98,7,8),"0-00-00"),TODAY(),"y")</f>
        <v/>
      </c>
      <c r="AJ98" s="548">
        <f>TEXT(MID(AC98,7,8),"0000-00-00")</f>
        <v/>
      </c>
      <c r="AK98" s="95">
        <f>CHOOSE(MONTH(AJ98),1,1,1,2,2,2,3,3,3,4,4,4)</f>
        <v/>
      </c>
    </row>
    <row r="99" customFormat="1" s="82">
      <c r="A99" s="82" t="n">
        <v>39</v>
      </c>
      <c r="B99" s="218" t="inlineStr">
        <is>
          <t>郭刚</t>
        </is>
      </c>
      <c r="C99" s="218" t="inlineStr">
        <is>
          <t>北京文石</t>
        </is>
      </c>
      <c r="D99" s="82" t="inlineStr">
        <is>
          <t>男</t>
        </is>
      </c>
      <c r="E99" s="82" t="n">
        <v>14000</v>
      </c>
      <c r="F99" s="218" t="inlineStr">
        <is>
          <t>工资：11.2K/14K
签1年合同 试用期2个月打八折
到岗时间：2024年12月02日
没有任何别的补贴</t>
        </is>
      </c>
      <c r="G99" s="541" t="inlineStr">
        <is>
          <t>材料齐全,已回寄员工
实际要被释放，员工不知道
2025/3/26借款1w,已打款，员工于2025年6月24日已还款。</t>
        </is>
      </c>
      <c r="H99" s="82" t="inlineStr">
        <is>
          <t>智能驾驶整车改装工程师</t>
        </is>
      </c>
      <c r="I99" s="533" t="n">
        <v>45628</v>
      </c>
      <c r="J99" s="533" t="inlineStr">
        <is>
          <t>/</t>
        </is>
      </c>
      <c r="K99" s="533" t="inlineStr">
        <is>
          <t>2025年12月01号</t>
        </is>
      </c>
      <c r="L99" s="534" t="n">
        <v>45627</v>
      </c>
      <c r="M99" s="82" t="inlineStr">
        <is>
          <t>北京</t>
        </is>
      </c>
      <c r="N99" s="82" t="inlineStr">
        <is>
          <t>北京</t>
        </is>
      </c>
      <c r="O99" s="82" t="inlineStr">
        <is>
          <t>11.2K</t>
        </is>
      </c>
      <c r="P99" s="82" t="inlineStr">
        <is>
          <t>14K</t>
        </is>
      </c>
      <c r="Q99" s="532" t="n">
        <v>0</v>
      </c>
      <c r="R99" s="532" t="n">
        <v>0</v>
      </c>
      <c r="S99" s="532" t="n">
        <v>0</v>
      </c>
      <c r="T99" s="218" t="inlineStr">
        <is>
          <t>第一次合同：1年：
2024/12/2-2025/12/1
实际要被释放，员工不知道</t>
        </is>
      </c>
      <c r="U99" s="82" t="inlineStr">
        <is>
          <t>2个月</t>
        </is>
      </c>
      <c r="V99" s="82" t="inlineStr">
        <is>
          <t>焊接技术及自动化</t>
        </is>
      </c>
      <c r="W99" s="82" t="inlineStr">
        <is>
          <t>2007年06</t>
        </is>
      </c>
      <c r="X99" s="82" t="inlineStr">
        <is>
          <t>中专</t>
        </is>
      </c>
      <c r="Y99" s="219" t="inlineStr">
        <is>
          <t>669223903@qq.com</t>
        </is>
      </c>
      <c r="Z99" s="82" t="inlineStr">
        <is>
          <t>河北省唐山市乐亭县闫各庄镇郝家铺村5条8号</t>
        </is>
      </c>
      <c r="AA99" s="82" t="inlineStr">
        <is>
          <t>北京市海淀区高里掌路翠湖科技园3号院19号楼</t>
        </is>
      </c>
      <c r="AB99" s="82" t="inlineStr">
        <is>
          <t>‘18633186186</t>
        </is>
      </c>
      <c r="AC99" s="494" t="inlineStr">
        <is>
          <t>130225198909293313</t>
        </is>
      </c>
      <c r="AD99" s="490" t="inlineStr">
        <is>
          <t>6217000180059085229
；；最新的是6217000180056349099姚晓芳</t>
        </is>
      </c>
      <c r="AE99" s="541" t="inlineStr">
        <is>
          <t>中国建设银行河北省唐山市京唐港支行；
郭刚2026年3月25日更换银行卡了请使用5229的银行卡最新的；
2026年4月30日郭刚申请换银行卡开户行：建设银行京唐港支行
银行卡号：6217000180056349099户名：姚晓芳，与本人关系：夫妻</t>
        </is>
      </c>
      <c r="AG99" s="82" t="inlineStr">
        <is>
          <t>是</t>
        </is>
      </c>
      <c r="AH99" s="547" t="inlineStr">
        <is>
          <t>第一次合同：1年：2024/12/2-2025/12/1
车改又不释放了，员工不知情
第一次合同：3年：2025/12/02-2028/12/01</t>
        </is>
      </c>
      <c r="AI99" s="82">
        <f>DATEDIF(--TEXT(MID(AC99,7,8),"0-00-00"),TODAY(),"y")</f>
        <v/>
      </c>
      <c r="AJ99" s="548">
        <f>TEXT(MID(AC99,7,8),"0000-00-00")</f>
        <v/>
      </c>
      <c r="AK99" s="95">
        <f>CHOOSE(MONTH(AJ99),1,1,1,2,2,2,3,3,3,4,4,4)</f>
        <v/>
      </c>
    </row>
    <row r="100" customFormat="1" s="197">
      <c r="A100" s="197" t="n">
        <v>98</v>
      </c>
      <c r="B100" s="206" t="inlineStr">
        <is>
          <t>李帅
2024年12月3日已离职</t>
        </is>
      </c>
      <c r="C100" s="206" t="inlineStr">
        <is>
          <t>/</t>
        </is>
      </c>
      <c r="D100" s="197" t="inlineStr">
        <is>
          <t>男</t>
        </is>
      </c>
      <c r="E100" s="197" t="n">
        <v>12000</v>
      </c>
      <c r="F100" s="206" t="inlineStr">
        <is>
          <t>工资：9.6K/12K
签1年合同 试用期2个月打八折
到岗时间：2024年12月02日
没有任何别的补贴</t>
        </is>
      </c>
      <c r="G100" s="206" t="inlineStr">
        <is>
          <t>上了一天班就离职
材料不准备了</t>
        </is>
      </c>
      <c r="H100" s="197" t="inlineStr">
        <is>
          <t>智能驾驶整车改装工程师</t>
        </is>
      </c>
      <c r="I100" s="551" t="n">
        <v>45628</v>
      </c>
      <c r="J100" s="551" t="inlineStr">
        <is>
          <t>2024年12月3日lastday</t>
        </is>
      </c>
      <c r="K100" s="551" t="inlineStr">
        <is>
          <t>2025年12月01号</t>
        </is>
      </c>
      <c r="L100" s="553" t="inlineStr">
        <is>
          <t>/</t>
        </is>
      </c>
      <c r="M100" s="197" t="inlineStr">
        <is>
          <t>上海</t>
        </is>
      </c>
      <c r="N100" s="197" t="inlineStr">
        <is>
          <t>上海</t>
        </is>
      </c>
      <c r="O100" s="230" t="inlineStr">
        <is>
          <t>9.6K</t>
        </is>
      </c>
      <c r="P100" s="230" t="inlineStr">
        <is>
          <t>12K</t>
        </is>
      </c>
      <c r="Q100" s="532" t="n">
        <v>0</v>
      </c>
      <c r="R100" s="532" t="n">
        <v>0</v>
      </c>
      <c r="S100" s="532" t="n">
        <v>0</v>
      </c>
      <c r="T100" s="206" t="inlineStr">
        <is>
          <t>第一次合同：1年:
2024/12/02-2025/12/01</t>
        </is>
      </c>
      <c r="U100" s="197" t="inlineStr">
        <is>
          <t>2个月</t>
        </is>
      </c>
      <c r="V100" s="197" t="inlineStr">
        <is>
          <t>汽车修理</t>
        </is>
      </c>
      <c r="W100" s="197" t="inlineStr">
        <is>
          <t>2015年06</t>
        </is>
      </c>
      <c r="X100" s="197" t="inlineStr">
        <is>
          <t>中专</t>
        </is>
      </c>
      <c r="Y100" s="222" t="inlineStr">
        <is>
          <t>lishuai199611@qq.com</t>
        </is>
      </c>
      <c r="Z100" s="197" t="inlineStr">
        <is>
          <t>河南省淮滨县芦集乡尹营村王东组</t>
        </is>
      </c>
      <c r="AA100" s="197" t="inlineStr">
        <is>
          <t>？</t>
        </is>
      </c>
      <c r="AB100" s="197" t="inlineStr">
        <is>
          <t>‘18658103649</t>
        </is>
      </c>
      <c r="AC100" s="491" t="inlineStr">
        <is>
          <t>411527199511295257</t>
        </is>
      </c>
      <c r="AD100" s="197" t="inlineStr">
        <is>
          <t>/</t>
        </is>
      </c>
      <c r="AE100" s="197" t="inlineStr">
        <is>
          <t>/</t>
        </is>
      </c>
      <c r="AG100" s="197" t="inlineStr">
        <is>
          <t>否</t>
        </is>
      </c>
      <c r="AH100" s="551" t="inlineStr">
        <is>
          <t>离职啦</t>
        </is>
      </c>
      <c r="AI100" s="82">
        <f>DATEDIF(--TEXT(MID(AC100,7,8),"0-00-00"),TODAY(),"y")</f>
        <v/>
      </c>
      <c r="AJ100" s="548">
        <f>TEXT(MID(AC100,7,8),"0000-00-00")</f>
        <v/>
      </c>
      <c r="AK100" s="95">
        <f>CHOOSE(MONTH(AJ100),1,1,1,2,2,2,3,3,3,4,4,4)</f>
        <v/>
      </c>
    </row>
    <row r="101" customFormat="1" s="197">
      <c r="A101" s="197" t="n">
        <v>99</v>
      </c>
      <c r="B101" s="206" t="inlineStr">
        <is>
          <t>侯万锋
（2025/4/18日已离职）</t>
        </is>
      </c>
      <c r="C101" s="206" t="inlineStr">
        <is>
          <t>/</t>
        </is>
      </c>
      <c r="D101" s="197" t="inlineStr">
        <is>
          <t>男</t>
        </is>
      </c>
      <c r="E101" s="197" t="n">
        <v>14000</v>
      </c>
      <c r="F101" s="206" t="inlineStr">
        <is>
          <t>工资：14K
签3个月合同 没有试用期 不打折
到岗时间：2024年12月02日
没有任何别的补贴</t>
        </is>
      </c>
      <c r="G101" s="550" t="inlineStr">
        <is>
          <t>材料齐全,已回寄员工
2025/4/18日lastday 被辞退的无赔偿
调休剩余9.5放4月账单已发员工
文石和创达补偿7天结算已放4月账单林娜已确认</t>
        </is>
      </c>
      <c r="H101" s="197" t="inlineStr">
        <is>
          <t>自动驾驶实车测试</t>
        </is>
      </c>
      <c r="I101" s="551" t="n">
        <v>45628</v>
      </c>
      <c r="J101" s="552" t="inlineStr">
        <is>
          <t>2025/4/18日lastday 被辞退的无赔偿
调休剩余9.5放4月账单已发员工
文石和创达有一周赔偿</t>
        </is>
      </c>
      <c r="K101" s="551" t="inlineStr">
        <is>
          <t>2025年3月1号</t>
        </is>
      </c>
      <c r="L101" s="553" t="n">
        <v>45627</v>
      </c>
      <c r="M101" s="197" t="inlineStr">
        <is>
          <t>上海</t>
        </is>
      </c>
      <c r="N101" s="197" t="inlineStr">
        <is>
          <t>上海</t>
        </is>
      </c>
      <c r="O101" s="230" t="inlineStr">
        <is>
          <t>14K</t>
        </is>
      </c>
      <c r="P101" s="230" t="inlineStr">
        <is>
          <t>14K</t>
        </is>
      </c>
      <c r="Q101" s="532" t="n">
        <v>0</v>
      </c>
      <c r="R101" s="532" t="n">
        <v>0</v>
      </c>
      <c r="S101" s="532" t="n">
        <v>0</v>
      </c>
      <c r="T101" s="206" t="inlineStr">
        <is>
          <t>第一次合同：3个月
2024/12/2-2025/3/11</t>
        </is>
      </c>
      <c r="U101" s="197" t="n">
        <v>0</v>
      </c>
      <c r="V101" s="197" t="inlineStr">
        <is>
          <t>计算机科学与技术</t>
        </is>
      </c>
      <c r="W101" s="197" t="inlineStr">
        <is>
          <t>2022年06</t>
        </is>
      </c>
      <c r="X101" s="197" t="inlineStr">
        <is>
          <t>本科</t>
        </is>
      </c>
      <c r="Y101" s="222" t="inlineStr">
        <is>
          <t>com2454162906@163.com</t>
        </is>
      </c>
      <c r="Z101" s="197" t="inlineStr">
        <is>
          <t>河南省光山县泼陂河镇蔡湾村代榜村民组</t>
        </is>
      </c>
      <c r="AA101" s="197" t="inlineStr">
        <is>
          <t>收货人: 侯万锋, 手机号码: 15839780837, 所在地区: 上海市嘉定区安亭镇安研路67号安亭瑞仕锦庭1号楼一单元401</t>
        </is>
      </c>
      <c r="AB101" s="197" t="inlineStr">
        <is>
          <t>‘15839780837</t>
        </is>
      </c>
      <c r="AC101" s="491" t="inlineStr">
        <is>
          <t>411522200202154518</t>
        </is>
      </c>
      <c r="AD101" s="491" t="inlineStr">
        <is>
          <t>6217001180086295501</t>
        </is>
      </c>
      <c r="AE101" s="549" t="inlineStr">
        <is>
          <t>中国建设银行</t>
        </is>
      </c>
      <c r="AG101" s="197" t="inlineStr">
        <is>
          <t>否</t>
        </is>
      </c>
      <c r="AH101" s="552" t="inlineStr">
        <is>
          <t>离职啦</t>
        </is>
      </c>
      <c r="AI101" s="82">
        <f>DATEDIF(--TEXT(MID(AC101,7,8),"0-00-00"),TODAY(),"y")</f>
        <v/>
      </c>
      <c r="AJ101" s="548">
        <f>TEXT(MID(AC101,7,8),"0000-00-00")</f>
        <v/>
      </c>
      <c r="AK101" s="95">
        <f>CHOOSE(MONTH(AJ101),1,1,1,2,2,2,3,3,3,4,4,4)</f>
        <v/>
      </c>
    </row>
    <row r="102" customFormat="1" s="82">
      <c r="A102" s="82" t="n">
        <v>40</v>
      </c>
      <c r="B102" s="82" t="inlineStr">
        <is>
          <t>韩乐</t>
        </is>
      </c>
      <c r="C102" s="218" t="inlineStr">
        <is>
          <t>北京文石</t>
        </is>
      </c>
      <c r="D102" s="82" t="inlineStr">
        <is>
          <t>男</t>
        </is>
      </c>
      <c r="E102" s="82" t="n">
        <v>13000</v>
      </c>
      <c r="F102" s="218" t="inlineStr">
        <is>
          <t>工资13k，签订一年合同，试用期2个月，2个月打8折。无其他补贴，无其他费用</t>
        </is>
      </c>
      <c r="G102" s="541" t="inlineStr">
        <is>
          <t>材料齐全
已回寄员工
（预计项目一年结束）</t>
        </is>
      </c>
      <c r="H102" s="82" t="inlineStr">
        <is>
          <t>智能驾驶整车改装工程师</t>
        </is>
      </c>
      <c r="I102" s="533" t="n">
        <v>45628</v>
      </c>
      <c r="J102" s="547" t="inlineStr">
        <is>
          <t>/</t>
        </is>
      </c>
      <c r="K102" s="547" t="inlineStr">
        <is>
          <t>1年
2024/12/2-2025/12/2</t>
        </is>
      </c>
      <c r="L102" s="534" t="n">
        <v>45627</v>
      </c>
      <c r="M102" s="82" t="inlineStr">
        <is>
          <t>北京</t>
        </is>
      </c>
      <c r="N102" s="82" t="inlineStr">
        <is>
          <t>北京</t>
        </is>
      </c>
      <c r="O102" s="82" t="n">
        <v>10400</v>
      </c>
      <c r="P102" s="82" t="n">
        <v>13000</v>
      </c>
      <c r="Q102" s="532" t="n">
        <v>0</v>
      </c>
      <c r="R102" s="532" t="n">
        <v>0</v>
      </c>
      <c r="S102" s="532" t="n">
        <v>0</v>
      </c>
      <c r="T102" s="218" t="inlineStr">
        <is>
          <t>第一次合同：1年
2024/12/2-2025/12/1</t>
        </is>
      </c>
      <c r="U102" s="82" t="inlineStr">
        <is>
          <t>2个月</t>
        </is>
      </c>
      <c r="V102" s="82" t="inlineStr">
        <is>
          <t>汽车服务与营销</t>
        </is>
      </c>
      <c r="W102" s="82" t="inlineStr">
        <is>
          <t>2011年06</t>
        </is>
      </c>
      <c r="X102" s="82" t="inlineStr">
        <is>
          <t>专科</t>
        </is>
      </c>
      <c r="Y102" s="223" t="inlineStr">
        <is>
          <t>1837178738@qq.com</t>
        </is>
      </c>
      <c r="Z102" s="82" t="inlineStr">
        <is>
          <t>河南省林州市黄华镇崔家庄村六区117号</t>
        </is>
      </c>
      <c r="AA102" s="218" t="inlineStr">
        <is>
          <t>北京市海淀区高里掌路翠湖科技园3号院19号楼）
韩乐  18238560606</t>
        </is>
      </c>
      <c r="AB102" s="82" t="inlineStr">
        <is>
          <t>，18238560606</t>
        </is>
      </c>
      <c r="AC102" s="494" t="inlineStr">
        <is>
          <t>410521199201010739</t>
        </is>
      </c>
      <c r="AD102" s="494" t="inlineStr">
        <is>
          <t>6214671180016336835</t>
        </is>
      </c>
      <c r="AE102" s="532" t="inlineStr">
        <is>
          <t>中国建设银行</t>
        </is>
      </c>
      <c r="AG102" s="82" t="inlineStr">
        <is>
          <t>是</t>
        </is>
      </c>
      <c r="AH102" s="547" t="inlineStr">
        <is>
          <t>第一次合同：1年：2024/12/2-2025/12/1
车改又不释放了，员工不知道
第二次合同：3年：2025/12/2-2028/12/1</t>
        </is>
      </c>
      <c r="AI102" s="82">
        <f>DATEDIF(--TEXT(MID(AC102,7,8),"0-00-00"),TODAY(),"y")</f>
        <v/>
      </c>
      <c r="AJ102" s="548">
        <f>TEXT(MID(AC102,7,8),"0000-00-00")</f>
        <v/>
      </c>
      <c r="AK102" s="95">
        <f>CHOOSE(MONTH(AJ102),1,1,1,2,2,2,3,3,3,4,4,4)</f>
        <v/>
      </c>
    </row>
    <row r="103" customFormat="1" s="197">
      <c r="A103" s="197" t="n">
        <v>101</v>
      </c>
      <c r="B103" s="206" t="inlineStr">
        <is>
          <t>胡金鑫
（2025年6月5日已离职）</t>
        </is>
      </c>
      <c r="C103" s="206" t="inlineStr">
        <is>
          <t>/</t>
        </is>
      </c>
      <c r="D103" s="197" t="inlineStr">
        <is>
          <t>男</t>
        </is>
      </c>
      <c r="E103" s="197" t="n">
        <v>25000</v>
      </c>
      <c r="F103" s="206" t="inlineStr">
        <is>
          <t>工资25k，签订三年合同，试用期6个月，前3个月8折，无其他补贴，无其他费用</t>
        </is>
      </c>
      <c r="G103" s="550" t="inlineStr">
        <is>
          <t>材料齐全
已回寄员工
2025/6/5lastday已主动离职</t>
        </is>
      </c>
      <c r="H103" s="197" t="inlineStr">
        <is>
          <t>中间件研发工程师</t>
        </is>
      </c>
      <c r="I103" s="551" t="n">
        <v>45628</v>
      </c>
      <c r="J103" s="552" t="inlineStr">
        <is>
          <t>2025/6/5个人觉得累了离职</t>
        </is>
      </c>
      <c r="K103" s="552" t="inlineStr">
        <is>
          <t>2025年6月1号</t>
        </is>
      </c>
      <c r="L103" s="553" t="n">
        <v>45627</v>
      </c>
      <c r="M103" s="197" t="inlineStr">
        <is>
          <t>北京</t>
        </is>
      </c>
      <c r="N103" s="197" t="inlineStr">
        <is>
          <t>北京</t>
        </is>
      </c>
      <c r="O103" s="230" t="n">
        <v>20000</v>
      </c>
      <c r="P103" s="230" t="n">
        <v>25000</v>
      </c>
      <c r="Q103" s="532" t="n">
        <v>0</v>
      </c>
      <c r="R103" s="532" t="n">
        <v>0</v>
      </c>
      <c r="S103" s="532" t="n">
        <v>0</v>
      </c>
      <c r="T103" s="206" t="inlineStr">
        <is>
          <t>第一次合同：3年
2024/12/2-2027/12/1</t>
        </is>
      </c>
      <c r="U103" s="197" t="inlineStr">
        <is>
          <t>6个月</t>
        </is>
      </c>
      <c r="V103" s="197" t="inlineStr">
        <is>
          <t>物联网工程</t>
        </is>
      </c>
      <c r="W103" s="197" t="inlineStr">
        <is>
          <t>2020年06</t>
        </is>
      </c>
      <c r="X103" s="197" t="inlineStr">
        <is>
          <t>本科</t>
        </is>
      </c>
      <c r="Y103" s="224" t="inlineStr">
        <is>
          <t>369262031@qq.com</t>
        </is>
      </c>
      <c r="Z103" s="197" t="inlineStr">
        <is>
          <t>黑龙江省大庆市大同区林源镇长发村130号</t>
        </is>
      </c>
      <c r="AA103" s="206" t="inlineStr">
        <is>
          <t>胡金鑫手机号:18846163287北京朝阳区柠檬晓国际公寓二店7号楼7209</t>
        </is>
      </c>
      <c r="AB103" s="197" t="inlineStr">
        <is>
          <t>，18846163287</t>
        </is>
      </c>
      <c r="AC103" s="491" t="inlineStr">
        <is>
          <t>230606199705025617</t>
        </is>
      </c>
      <c r="AD103" s="491" t="inlineStr">
        <is>
          <t>6217000010200249798</t>
        </is>
      </c>
      <c r="AE103" s="549" t="inlineStr">
        <is>
          <t>中国建设银行</t>
        </is>
      </c>
      <c r="AG103" s="197" t="inlineStr">
        <is>
          <t>否</t>
        </is>
      </c>
      <c r="AH103" s="551" t="inlineStr">
        <is>
          <t>离职啦</t>
        </is>
      </c>
      <c r="AI103" s="82">
        <f>DATEDIF(--TEXT(MID(AC103,7,8),"0-00-00"),TODAY(),"y")</f>
        <v/>
      </c>
      <c r="AJ103" s="548">
        <f>TEXT(MID(AC103,7,8),"0000-00-00")</f>
        <v/>
      </c>
      <c r="AK103" s="95">
        <f>CHOOSE(MONTH(AJ103),1,1,1,2,2,2,3,3,3,4,4,4)</f>
        <v/>
      </c>
    </row>
    <row r="104" ht="193" customFormat="1" customHeight="1" s="82">
      <c r="A104" s="82" t="n">
        <v>41</v>
      </c>
      <c r="B104" s="82" t="inlineStr">
        <is>
          <t>宋峰</t>
        </is>
      </c>
      <c r="C104" s="218" t="inlineStr">
        <is>
          <t>邦芒
2026年5月转上海文石</t>
        </is>
      </c>
      <c r="D104" s="82" t="inlineStr">
        <is>
          <t>男</t>
        </is>
      </c>
      <c r="E104" s="82" t="n">
        <v>17000</v>
      </c>
      <c r="F104" s="218" t="inlineStr">
        <is>
          <t>工资17K,签订2个月合同，无试用期不打折，无其他补贴，无其他费用
无需打卡</t>
        </is>
      </c>
      <c r="G104" s="541" t="inlineStr">
        <is>
          <t>材料齐全
已回寄员工
2024/12/4-2025/2/4
2025/2/4-短期不固定（2025/6/30）已续签</t>
        </is>
      </c>
      <c r="H104" s="218" t="inlineStr">
        <is>
          <t>自动驾驶
实车系统验证工程师</t>
        </is>
      </c>
      <c r="I104" s="533" t="n">
        <v>45630</v>
      </c>
      <c r="J104" s="533" t="inlineStr">
        <is>
          <t>/</t>
        </is>
      </c>
      <c r="K104" s="533" t="inlineStr">
        <is>
          <t>无试用期</t>
        </is>
      </c>
      <c r="L104" s="534" t="n">
        <v>45627</v>
      </c>
      <c r="M104" s="82" t="inlineStr">
        <is>
          <t>上海</t>
        </is>
      </c>
      <c r="N104" s="82" t="inlineStr">
        <is>
          <t>上海</t>
        </is>
      </c>
      <c r="O104" s="82" t="inlineStr">
        <is>
          <t>无试用期</t>
        </is>
      </c>
      <c r="P104" s="82" t="n">
        <v>17000</v>
      </c>
      <c r="Q104" s="532" t="n">
        <v>0</v>
      </c>
      <c r="R104" s="532" t="n">
        <v>0</v>
      </c>
      <c r="S104" s="532" t="n">
        <v>0</v>
      </c>
      <c r="T104" s="218" t="inlineStr">
        <is>
          <t>第一次合同：短期2个月：
2024/12/4-2025/2/4
第二次合同：短期
2025/2/4-目前测试项目结束 预计周期4个月起，不固定合同已续签，（2025/6/30）已回寄员工一份</t>
        </is>
      </c>
      <c r="U104" s="82" t="inlineStr">
        <is>
          <t>无试用期</t>
        </is>
      </c>
      <c r="V104" s="82" t="inlineStr">
        <is>
          <t>计算机科学与技术</t>
        </is>
      </c>
      <c r="W104" s="82" t="inlineStr">
        <is>
          <t>2016年07</t>
        </is>
      </c>
      <c r="X104" s="82" t="inlineStr">
        <is>
          <t>本科</t>
        </is>
      </c>
      <c r="Y104" s="219" t="inlineStr">
        <is>
          <t>342546038@qq.com</t>
        </is>
      </c>
      <c r="Z104" s="82" t="inlineStr">
        <is>
          <t>江苏省睢宁县李集镇富民新区1号</t>
        </is>
      </c>
      <c r="AA104" s="82" t="inlineStr">
        <is>
          <t>江苏省苏州市昆山市花桥镇新安花园3栋806室</t>
        </is>
      </c>
      <c r="AB104" s="82" t="inlineStr">
        <is>
          <t>，18896826371</t>
        </is>
      </c>
      <c r="AC104" s="494" t="inlineStr">
        <is>
          <t>320324199208044196</t>
        </is>
      </c>
      <c r="AD104" s="494" t="inlineStr">
        <is>
          <t>6217002000076923251</t>
        </is>
      </c>
      <c r="AE104" s="532" t="inlineStr">
        <is>
          <t>中国建设银行</t>
        </is>
      </c>
      <c r="AG104" s="82" t="inlineStr">
        <is>
          <t>是</t>
        </is>
      </c>
      <c r="AH104" s="547" t="inlineStr">
        <is>
          <t>第一次合同：南京文石-短期2个月：
2024/12/4-2025/2/4
第二次合同：南京文石-短期
2025/2/4-目前测试项目结束 预计周期4个月起，不固定合同已续签，（2025/6/30）已回寄员工一份
第三次合同：南京文石-没发起签
项目上已确认延续到25年12月月底，但是合同没动了。要签署吗？最终转长期了不签署了吧，20260121记录。20251224林娜账单转长期了！！！【续签1年】-转上海文石-宋峰20260506-20270505合同签署完毕</t>
        </is>
      </c>
      <c r="AI104" s="82">
        <f>DATEDIF(--TEXT(MID(AC104,7,8),"0-00-00"),TODAY(),"y")</f>
        <v/>
      </c>
      <c r="AJ104" s="548">
        <f>TEXT(MID(AC104,7,8),"0000-00-00")</f>
        <v/>
      </c>
      <c r="AK104" s="95">
        <f>CHOOSE(MONTH(AJ104),1,1,1,2,2,2,3,3,3,4,4,4)</f>
        <v/>
      </c>
    </row>
    <row r="105" customFormat="1" s="197">
      <c r="A105" s="197" t="n">
        <v>103</v>
      </c>
      <c r="B105" s="206" t="inlineStr">
        <is>
          <t>殷志朋
（2025年1月6日已离职）</t>
        </is>
      </c>
      <c r="C105" s="206" t="inlineStr">
        <is>
          <t>/</t>
        </is>
      </c>
      <c r="D105" s="197" t="inlineStr">
        <is>
          <t>男</t>
        </is>
      </c>
      <c r="E105" s="197" t="n">
        <v>24500</v>
      </c>
      <c r="F105" s="206" t="inlineStr">
        <is>
          <t>工资：22.05K/24.5K
签3年合同 试用期6个月 前3个月打九折
到岗时间：2024年12月11日
没有别的补贴
前3个月试用期打9折</t>
        </is>
      </c>
      <c r="G105" s="550" t="inlineStr">
        <is>
          <t>材料齐全
已回寄员工
2025年1月6日lastday</t>
        </is>
      </c>
      <c r="H105" s="197" t="inlineStr">
        <is>
          <t>Golang开发工程师</t>
        </is>
      </c>
      <c r="I105" s="551" t="n">
        <v>45637</v>
      </c>
      <c r="J105" s="551" t="inlineStr">
        <is>
          <t>2025年1月6日lastday</t>
        </is>
      </c>
      <c r="K105" s="551" t="inlineStr">
        <is>
          <t>2027年12月10号</t>
        </is>
      </c>
      <c r="L105" s="553" t="n">
        <v>45627</v>
      </c>
      <c r="M105" s="197" t="inlineStr">
        <is>
          <t>北京</t>
        </is>
      </c>
      <c r="N105" s="197" t="inlineStr">
        <is>
          <t>北京</t>
        </is>
      </c>
      <c r="O105" s="230" t="inlineStr">
        <is>
          <t>22.05K</t>
        </is>
      </c>
      <c r="P105" s="230" t="inlineStr">
        <is>
          <t>24.5K</t>
        </is>
      </c>
      <c r="Q105" s="532" t="n">
        <v>0</v>
      </c>
      <c r="R105" s="532" t="n">
        <v>0</v>
      </c>
      <c r="S105" s="532" t="n">
        <v>0</v>
      </c>
      <c r="T105" s="206" t="inlineStr">
        <is>
          <t>第一次合同：3年
2024/12/11-2027/12/10
已离职</t>
        </is>
      </c>
      <c r="U105" s="197" t="inlineStr">
        <is>
          <t>6个月</t>
        </is>
      </c>
      <c r="V105" s="197" t="inlineStr">
        <is>
          <t>计算机</t>
        </is>
      </c>
      <c r="W105" s="206" t="inlineStr">
        <is>
          <t>2023年06
2011年06</t>
        </is>
      </c>
      <c r="X105" s="206" t="inlineStr">
        <is>
          <t>本科
大专</t>
        </is>
      </c>
      <c r="Y105" s="222" t="inlineStr">
        <is>
          <t>601046124@qq.com</t>
        </is>
      </c>
      <c r="Z105" s="197" t="inlineStr">
        <is>
          <t>天津市东丽区先锋路29号</t>
        </is>
      </c>
      <c r="AA105" s="197" t="inlineStr">
        <is>
          <t>北京市昌平区昌平县城瑞明路小区二号楼五单元601</t>
        </is>
      </c>
      <c r="AB105" s="197" t="inlineStr">
        <is>
          <t>’18132583653</t>
        </is>
      </c>
      <c r="AC105" s="491" t="inlineStr">
        <is>
          <t>130684198910013018</t>
        </is>
      </c>
      <c r="AD105" s="491" t="inlineStr">
        <is>
          <t>6217000010143289075</t>
        </is>
      </c>
      <c r="AE105" s="549" t="inlineStr">
        <is>
          <t>中国建设银行</t>
        </is>
      </c>
      <c r="AG105" s="197" t="inlineStr">
        <is>
          <t>否</t>
        </is>
      </c>
      <c r="AH105" s="551" t="inlineStr">
        <is>
          <t>离职啦</t>
        </is>
      </c>
      <c r="AI105" s="82">
        <f>DATEDIF(--TEXT(MID(AC105,7,8),"0-00-00"),TODAY(),"y")</f>
        <v/>
      </c>
      <c r="AJ105" s="548">
        <f>TEXT(MID(AC105,7,8),"0000-00-00")</f>
        <v/>
      </c>
      <c r="AK105" s="95">
        <f>CHOOSE(MONTH(AJ105),1,1,1,2,2,2,3,3,3,4,4,4)</f>
        <v/>
      </c>
    </row>
    <row r="106" customFormat="1" s="82">
      <c r="A106" s="82" t="n">
        <v>42</v>
      </c>
      <c r="B106" s="82" t="inlineStr">
        <is>
          <t>王哲</t>
        </is>
      </c>
      <c r="C106" s="218" t="inlineStr">
        <is>
          <t>北京文石</t>
        </is>
      </c>
      <c r="D106" s="82" t="inlineStr">
        <is>
          <t>男</t>
        </is>
      </c>
      <c r="E106" s="82" t="n">
        <v>12000</v>
      </c>
      <c r="F106" s="218" t="inlineStr">
        <is>
          <t>工资12k，签订一年合同，试用期2个月，2个月打8折。无其他补贴，无其他费用。</t>
        </is>
      </c>
      <c r="G106" s="541" t="inlineStr">
        <is>
          <t>材料齐全
已回寄员工
预计项目一年结束，员工不知道自己是短期</t>
        </is>
      </c>
      <c r="H106" s="82" t="inlineStr">
        <is>
          <t>智能驾驶整车改装工程师</t>
        </is>
      </c>
      <c r="I106" s="533" t="n">
        <v>45642</v>
      </c>
      <c r="J106" s="533" t="inlineStr">
        <is>
          <t>/</t>
        </is>
      </c>
      <c r="K106" s="533" t="inlineStr">
        <is>
          <t>2025年2月15号</t>
        </is>
      </c>
      <c r="L106" s="534" t="n">
        <v>45658</v>
      </c>
      <c r="M106" s="82" t="inlineStr">
        <is>
          <t>北京</t>
        </is>
      </c>
      <c r="N106" s="82" t="inlineStr">
        <is>
          <t>北京</t>
        </is>
      </c>
      <c r="O106" s="82" t="n">
        <v>9600</v>
      </c>
      <c r="P106" s="82" t="n">
        <v>12000</v>
      </c>
      <c r="Q106" s="532" t="n">
        <v>0</v>
      </c>
      <c r="R106" s="532" t="n">
        <v>0</v>
      </c>
      <c r="S106" s="532" t="n">
        <v>0</v>
      </c>
      <c r="T106" s="218" t="inlineStr">
        <is>
          <t>第一次合同：1年
2024/12/16-2025/12/15
实际一年释放</t>
        </is>
      </c>
      <c r="U106" s="82" t="inlineStr">
        <is>
          <t>2个月</t>
        </is>
      </c>
      <c r="V106" s="82" t="inlineStr">
        <is>
          <t>高中毕业</t>
        </is>
      </c>
      <c r="W106" s="226" t="inlineStr">
        <is>
          <t>2007/8/
2010年6月</t>
        </is>
      </c>
      <c r="X106" s="82" t="inlineStr">
        <is>
          <t>高中</t>
        </is>
      </c>
      <c r="Y106" s="219" t="inlineStr">
        <is>
          <t>822025589@qq.com</t>
        </is>
      </c>
      <c r="Z106" s="218" t="inlineStr">
        <is>
          <t>河北省承德市隆化县唐三冷
营镇二道窝铺村8组90号</t>
        </is>
      </c>
      <c r="AA106" s="218" t="inlineStr">
        <is>
          <t>北京市顺义区高丽营镇南部中段49号
15011380921</t>
        </is>
      </c>
      <c r="AB106" s="82" t="inlineStr">
        <is>
          <t>，15011380921</t>
        </is>
      </c>
      <c r="AC106" s="494" t="inlineStr">
        <is>
          <t>13082519901125311X</t>
        </is>
      </c>
      <c r="AD106" s="494" t="inlineStr">
        <is>
          <t>6217000010156648340</t>
        </is>
      </c>
      <c r="AE106" s="532" t="inlineStr">
        <is>
          <t>中国建设银行</t>
        </is>
      </c>
      <c r="AG106" s="82" t="inlineStr">
        <is>
          <t>是</t>
        </is>
      </c>
      <c r="AH106" s="547" t="inlineStr">
        <is>
          <t>第一次合同：南京文石转北京文石-1年：2024/12/16-2025/12/15
实际一年释放，车改又不释放了？
第二次合同：北京文石-3年：2025/12/16-2028/12/15</t>
        </is>
      </c>
      <c r="AI106" s="82">
        <f>DATEDIF(--TEXT(MID(AC106,7,8),"0-00-00"),TODAY(),"y")</f>
        <v/>
      </c>
      <c r="AJ106" s="548">
        <f>TEXT(MID(AC106,7,8),"0000-00-00")</f>
        <v/>
      </c>
      <c r="AK106" s="95">
        <f>CHOOSE(MONTH(AJ106),1,1,1,2,2,2,3,3,3,4,4,4)</f>
        <v/>
      </c>
    </row>
    <row r="107" customFormat="1" s="82">
      <c r="A107" s="82" t="n">
        <v>43</v>
      </c>
      <c r="B107" s="82" t="inlineStr">
        <is>
          <t>马朝阳</t>
        </is>
      </c>
      <c r="C107" s="218" t="inlineStr">
        <is>
          <t>邦芒
2026年5月转上海文石</t>
        </is>
      </c>
      <c r="D107" s="82" t="inlineStr">
        <is>
          <t>男</t>
        </is>
      </c>
      <c r="E107" s="82" t="n">
        <v>17000</v>
      </c>
      <c r="F107" s="218" t="inlineStr">
        <is>
          <t xml:space="preserve">工资17K,签订3个月合同，无试用期不打折，无其他补贴，无其他费用
</t>
        </is>
      </c>
      <c r="G107" s="541" t="inlineStr">
        <is>
          <t>材料齐全
已回寄员工
2024/12/16-2025/3/15短期
2025/3/15-2025/6/30已续签，已回寄</t>
        </is>
      </c>
      <c r="H107" s="82" t="inlineStr">
        <is>
          <t>自动驾驶实车系统验证工程师</t>
        </is>
      </c>
      <c r="I107" s="533" t="n">
        <v>45642</v>
      </c>
      <c r="J107" s="533" t="inlineStr">
        <is>
          <t>/</t>
        </is>
      </c>
      <c r="K107" s="533" t="inlineStr">
        <is>
          <t>无试用期</t>
        </is>
      </c>
      <c r="L107" s="534" t="n">
        <v>45658</v>
      </c>
      <c r="M107" s="82" t="inlineStr">
        <is>
          <t>上海</t>
        </is>
      </c>
      <c r="N107" s="82" t="inlineStr">
        <is>
          <t>上海</t>
        </is>
      </c>
      <c r="O107" s="82" t="inlineStr">
        <is>
          <t>无试用期</t>
        </is>
      </c>
      <c r="P107" s="82" t="n">
        <v>17000</v>
      </c>
      <c r="Q107" s="532" t="n">
        <v>0</v>
      </c>
      <c r="R107" s="532" t="n">
        <v>0</v>
      </c>
      <c r="S107" s="532" t="n">
        <v>0</v>
      </c>
      <c r="T107" s="218" t="inlineStr">
        <is>
          <t>第一次合同：短期：
2024/12/16-2025/3/15短期
第二次合同：短期2025/3/15-2025/6/30已续签，已回寄
合同上次续签至六月底  再次沟通续签至七月底，合同无需改动</t>
        </is>
      </c>
      <c r="U107" s="82" t="inlineStr">
        <is>
          <t>无试用期</t>
        </is>
      </c>
      <c r="V107" s="82" t="inlineStr">
        <is>
          <t>计算机科学与技术</t>
        </is>
      </c>
      <c r="W107" s="82" t="inlineStr">
        <is>
          <t>2014年06</t>
        </is>
      </c>
      <c r="X107" s="82" t="inlineStr">
        <is>
          <t>本科</t>
        </is>
      </c>
      <c r="Y107" s="219" t="inlineStr">
        <is>
          <t>474752621@qq.com</t>
        </is>
      </c>
      <c r="Z107" s="82" t="inlineStr">
        <is>
          <t>河南省孟津县常袋乡马岭村</t>
        </is>
      </c>
      <c r="AA107" s="82" t="inlineStr">
        <is>
          <t>马朝阳18556838305江苏省苏州市昆山市花桥镇新安花园</t>
        </is>
      </c>
      <c r="AB107" s="82" t="inlineStr">
        <is>
          <t>，18556838305</t>
        </is>
      </c>
      <c r="AC107" s="494" t="inlineStr">
        <is>
          <t>41032219911120835X</t>
        </is>
      </c>
      <c r="AD107" s="494" t="inlineStr">
        <is>
          <t>6217002000103376150</t>
        </is>
      </c>
      <c r="AE107" s="532" t="inlineStr">
        <is>
          <t>中国建设银行</t>
        </is>
      </c>
      <c r="AG107" s="82" t="inlineStr">
        <is>
          <t>是</t>
        </is>
      </c>
      <c r="AH107" s="547" t="inlineStr">
        <is>
          <t>第一次合同：短期：2024/12/16-2025/3/15短期
第二次合同：短期2025/3/16-预计周期4个月起已续签，已回寄
第三次合同：合同上次续签至25.6月底  再次沟通续签至7月底，合同无需改动，再次沟通到25年12月底，合同也没续了？要续吗？短期，安全
已沟通到25年7月底，马朝阳原项目短期外包属性不变，继续干到25年12月底沟通OK，合同没动了。要签署吗？最终转长期了不签署了吧，20260121记录。20251224林娜账单转长期了！！！
【续签3年】-转上海文石-马朝阳20260506-20290505签署完成</t>
        </is>
      </c>
      <c r="AI107" s="82">
        <f>DATEDIF(--TEXT(MID(AC107,7,8),"0-00-00"),TODAY(),"y")</f>
        <v/>
      </c>
      <c r="AJ107" s="548">
        <f>TEXT(MID(AC107,7,8),"0000-00-00")</f>
        <v/>
      </c>
      <c r="AK107" s="95">
        <f>CHOOSE(MONTH(AJ107),1,1,1,2,2,2,3,3,3,4,4,4)</f>
        <v/>
      </c>
    </row>
    <row r="108" customFormat="1" s="206">
      <c r="A108" s="206" t="n">
        <v>51</v>
      </c>
      <c r="B108" s="206" t="inlineStr">
        <is>
          <t>汪虎龙
（2025/6/30日已离职）</t>
        </is>
      </c>
      <c r="C108" s="206" t="inlineStr">
        <is>
          <t>/</t>
        </is>
      </c>
      <c r="D108" s="206" t="inlineStr">
        <is>
          <t>男</t>
        </is>
      </c>
      <c r="E108" s="206" t="n">
        <v>12000</v>
      </c>
      <c r="F108" s="206" t="inlineStr">
        <is>
          <t>工资12k，签订一年合同，试用期2个月，2个月打8折。(五险一金后续按照0.8倍来缴纳，多出公司部分个人承担)</t>
        </is>
      </c>
      <c r="G108" s="206" t="inlineStr">
        <is>
          <t>材料齐全,已回寄员工
2025年1月开始缴纳，员工需要办理上海积分，目前已有上海积分。
从25年5月开始五险一金降为最低因为不办理积分了
（预计项目一年结束，员工不知道自己是短期
2025/6/30日个人原因离职lastday，丢电脑
还有9.5天调休未发薪给他20250912记录</t>
        </is>
      </c>
      <c r="H108" s="206" t="inlineStr">
        <is>
          <t>智能驾驶整车改装工程师</t>
        </is>
      </c>
      <c r="I108" s="533" t="n">
        <v>45642</v>
      </c>
      <c r="J108" s="533" t="inlineStr">
        <is>
          <t>2025/6/30主动离职</t>
        </is>
      </c>
      <c r="K108" s="206" t="inlineStr">
        <is>
          <t>2025年2月15号</t>
        </is>
      </c>
      <c r="L108" s="206" t="n">
        <v>45658</v>
      </c>
      <c r="M108" s="206" t="inlineStr">
        <is>
          <t>上海</t>
        </is>
      </c>
      <c r="N108" s="206" t="inlineStr">
        <is>
          <t>上海</t>
        </is>
      </c>
      <c r="O108" s="228" t="n">
        <v>9600</v>
      </c>
      <c r="P108" s="228" t="n">
        <v>12000</v>
      </c>
      <c r="Q108" s="532" t="n">
        <v>0</v>
      </c>
      <c r="R108" s="532" t="n">
        <v>0</v>
      </c>
      <c r="S108" s="532" t="n">
        <v>0</v>
      </c>
      <c r="T108" s="206" t="inlineStr">
        <is>
          <t>第一次合同：1年
2024/12/16-2025/12/15
试用期2个月，8折，五险一金按照0.8，个人承担多的部分
实际一年释放</t>
        </is>
      </c>
      <c r="U108" s="206" t="inlineStr">
        <is>
          <t>2个月</t>
        </is>
      </c>
      <c r="V108" s="206" t="inlineStr">
        <is>
          <t>机械设计制造及其自动化</t>
        </is>
      </c>
      <c r="W108" s="206" t="inlineStr">
        <is>
          <t>2012年3月
2017年1月</t>
        </is>
      </c>
      <c r="X108" s="206" t="inlineStr">
        <is>
          <t>成人本科</t>
        </is>
      </c>
      <c r="Y108" s="206" t="inlineStr">
        <is>
          <t>119196665@qq.com</t>
        </is>
      </c>
      <c r="Z108" s="206" t="inlineStr">
        <is>
          <t>安徽省霍邱县石店镇桥岗村腰庄组</t>
        </is>
      </c>
      <c r="AA108" s="206" t="inlineStr">
        <is>
          <t>上海市虹口区逸仙路458号</t>
        </is>
      </c>
      <c r="AB108" s="206" t="inlineStr">
        <is>
          <t>，18201888825</t>
        </is>
      </c>
      <c r="AC108" s="492" t="inlineStr">
        <is>
          <t>342423198412174596</t>
        </is>
      </c>
      <c r="AD108" s="206" t="inlineStr">
        <is>
          <t>6215 3103 0570 0858 805</t>
        </is>
      </c>
      <c r="AE108" s="206" t="inlineStr">
        <is>
          <t>中国建设银行</t>
        </is>
      </c>
      <c r="AG108" s="197" t="inlineStr">
        <is>
          <t>否</t>
        </is>
      </c>
      <c r="AH108" s="206" t="inlineStr">
        <is>
          <t>离职啦</t>
        </is>
      </c>
      <c r="AI108" s="206">
        <f>DATEDIF(--TEXT(MID(AC108,7,8),"0-00-00"),TODAY(),"y")</f>
        <v/>
      </c>
      <c r="AJ108" s="548">
        <f>TEXT(MID(AC108,7,8),"0000-00-00")</f>
        <v/>
      </c>
      <c r="AK108" s="95">
        <f>CHOOSE(MONTH(AJ108),1,1,1,2,2,2,3,3,3,4,4,4)</f>
        <v/>
      </c>
    </row>
    <row r="109" customFormat="1" s="82">
      <c r="A109" s="82" t="n">
        <v>44</v>
      </c>
      <c r="B109" s="218" t="inlineStr">
        <is>
          <t>胡远征</t>
        </is>
      </c>
      <c r="C109" s="218" t="inlineStr">
        <is>
          <t>邦芒</t>
        </is>
      </c>
      <c r="D109" s="82" t="inlineStr">
        <is>
          <t>男</t>
        </is>
      </c>
      <c r="E109" s="82">
        <f>13000+1500</f>
        <v/>
      </c>
      <c r="F109" s="218" t="inlineStr">
        <is>
          <t>工资13k，签订三年合同，试用期6个月，前3个月打8折。无其他补贴，无其他费用。
胡远征自2026年5月起涨薪1500元，现在工资=13000+1500=14500</t>
        </is>
      </c>
      <c r="G109" s="541" t="inlineStr">
        <is>
          <t>材料齐全
已回寄员工
期待涨薪否则离职
（预计项目一年结束，员工不知道自己是短期）</t>
        </is>
      </c>
      <c r="H109" s="82" t="inlineStr">
        <is>
          <t>智能驾驶整车改装工程师</t>
        </is>
      </c>
      <c r="I109" s="533" t="n">
        <v>45644</v>
      </c>
      <c r="J109" s="533" t="inlineStr">
        <is>
          <t>/</t>
        </is>
      </c>
      <c r="K109" s="533" t="n">
        <v>45825</v>
      </c>
      <c r="L109" s="534" t="n">
        <v>45658</v>
      </c>
      <c r="M109" s="82" t="inlineStr">
        <is>
          <t>上海</t>
        </is>
      </c>
      <c r="N109" s="82" t="inlineStr">
        <is>
          <t>上海</t>
        </is>
      </c>
      <c r="O109" s="82" t="n">
        <v>10400</v>
      </c>
      <c r="P109" s="82" t="n">
        <v>13000</v>
      </c>
      <c r="Q109" s="532" t="n">
        <v>0</v>
      </c>
      <c r="R109" s="532" t="n">
        <v>0</v>
      </c>
      <c r="S109" s="532" t="n">
        <v>0</v>
      </c>
      <c r="T109" s="218" t="inlineStr">
        <is>
          <t>第一次合同：3年合同，6个月
试用期，前三个月打折
2024/12/18-2027/12/17</t>
        </is>
      </c>
      <c r="U109" s="82" t="inlineStr">
        <is>
          <t>6个月</t>
        </is>
      </c>
      <c r="V109" s="82" t="inlineStr">
        <is>
          <t>汽车运用与维修</t>
        </is>
      </c>
      <c r="W109" s="218" t="inlineStr">
        <is>
          <t>2006年9月
2009年7月</t>
        </is>
      </c>
      <c r="X109" s="82" t="inlineStr">
        <is>
          <t>职高</t>
        </is>
      </c>
      <c r="Y109" s="223" t="inlineStr">
        <is>
          <t>1501566584@qq.com</t>
        </is>
      </c>
      <c r="Z109" s="82" t="inlineStr">
        <is>
          <t>四川省阆中市金垭镇洞子住址崖村3组49号</t>
        </is>
      </c>
      <c r="AA109" s="82" t="inlineStr">
        <is>
          <t>胡远征18018889962上海市浦东新区新园路50弄14号201室</t>
        </is>
      </c>
      <c r="AB109" s="82" t="inlineStr">
        <is>
          <t>，18018889962</t>
        </is>
      </c>
      <c r="AC109" s="494" t="inlineStr">
        <is>
          <t>511381198910215417</t>
        </is>
      </c>
      <c r="AD109" s="494" t="inlineStr">
        <is>
          <t>6227001215350175150</t>
        </is>
      </c>
      <c r="AE109" s="532" t="inlineStr">
        <is>
          <t>中国建设银行</t>
        </is>
      </c>
      <c r="AG109" s="82" t="inlineStr">
        <is>
          <t>是</t>
        </is>
      </c>
      <c r="AH109" s="547" t="inlineStr">
        <is>
          <t>第一次合同：3年：2024/12/18-2027/12/17
实际一年释放，车改又不释放了？</t>
        </is>
      </c>
      <c r="AI109" s="82">
        <f>DATEDIF(--TEXT(MID(AC109,7,8),"0-00-00"),TODAY(),"y")</f>
        <v/>
      </c>
      <c r="AJ109" s="548">
        <f>TEXT(MID(AC109,7,8),"0000-00-00")</f>
        <v/>
      </c>
      <c r="AK109" s="95">
        <f>CHOOSE(MONTH(AJ109),1,1,1,2,2,2,3,3,3,4,4,4)</f>
        <v/>
      </c>
    </row>
    <row r="110" customFormat="1" s="82">
      <c r="A110" s="82" t="n">
        <v>45</v>
      </c>
      <c r="B110" s="82" t="inlineStr">
        <is>
          <t>邵明孝</t>
        </is>
      </c>
      <c r="C110" s="82" t="inlineStr">
        <is>
          <t>邦芒</t>
        </is>
      </c>
      <c r="D110" s="82" t="inlineStr">
        <is>
          <t>男</t>
        </is>
      </c>
      <c r="E110" s="82" t="n">
        <v>11000</v>
      </c>
      <c r="F110" s="218" t="inlineStr">
        <is>
          <t xml:space="preserve">
工资11k，签订一年合同，试用期2个月，2个月打8折。</t>
        </is>
      </c>
      <c r="G110" s="541" t="inlineStr">
        <is>
          <t>材料齐全
已回寄员工
（预计项目一年结束，员工不知道自己是短期）</t>
        </is>
      </c>
      <c r="H110" s="82" t="inlineStr">
        <is>
          <t>智能驾驶整车改装工程师</t>
        </is>
      </c>
      <c r="I110" s="533" t="n">
        <v>45644</v>
      </c>
      <c r="J110" s="533" t="inlineStr">
        <is>
          <t>/</t>
        </is>
      </c>
      <c r="K110" s="533" t="n">
        <v>45705</v>
      </c>
      <c r="L110" s="534" t="n">
        <v>45658</v>
      </c>
      <c r="M110" s="82" t="inlineStr">
        <is>
          <t>上海</t>
        </is>
      </c>
      <c r="N110" s="82" t="inlineStr">
        <is>
          <t>上海</t>
        </is>
      </c>
      <c r="O110" s="82" t="n">
        <v>8800</v>
      </c>
      <c r="P110" s="82" t="n">
        <v>11000</v>
      </c>
      <c r="Q110" s="532" t="n">
        <v>0</v>
      </c>
      <c r="R110" s="532" t="n">
        <v>0</v>
      </c>
      <c r="S110" s="532" t="n">
        <v>0</v>
      </c>
      <c r="T110" s="218" t="inlineStr">
        <is>
          <t>第一次合同：1年：
2024/12/18-2025/12/17
实际一年释放</t>
        </is>
      </c>
      <c r="U110" s="82" t="inlineStr">
        <is>
          <t>2个月</t>
        </is>
      </c>
      <c r="V110" s="82" t="inlineStr">
        <is>
          <t>航空服务</t>
        </is>
      </c>
      <c r="W110" s="218" t="inlineStr">
        <is>
          <t>2017年8月
2020年7月</t>
        </is>
      </c>
      <c r="X110" s="82" t="inlineStr">
        <is>
          <t>大专</t>
        </is>
      </c>
      <c r="Y110" s="219" t="inlineStr">
        <is>
          <t>2244967879@qq.com</t>
        </is>
      </c>
      <c r="Z110" s="82" t="inlineStr">
        <is>
          <t>云南省昭通市鲁甸县龙树镇新乐村民委员会三十一社23号</t>
        </is>
      </c>
      <c r="AA110" s="82" t="inlineStr">
        <is>
          <t>上海市浦东新区金桥清水湾13号楼601</t>
        </is>
      </c>
      <c r="AB110" s="82" t="inlineStr">
        <is>
          <t>，15750146285</t>
        </is>
      </c>
      <c r="AC110" s="494" t="inlineStr">
        <is>
          <t>532122200203011814</t>
        </is>
      </c>
      <c r="AD110" s="82" t="inlineStr">
        <is>
          <t>6215 3403 0310 2623 506</t>
        </is>
      </c>
      <c r="AE110" s="532" t="inlineStr">
        <is>
          <t>中国建设银行</t>
        </is>
      </c>
      <c r="AF110" s="82" t="n"/>
      <c r="AG110" s="82" t="inlineStr">
        <is>
          <t>是</t>
        </is>
      </c>
      <c r="AH110" s="547" t="inlineStr">
        <is>
          <t xml:space="preserve">第一次合同：南京文石-1年：2024/12/18-2025/12/17
实际一年释放，车改又不释放了？
第二次合同：南京文石不愿转上海文石-3年：2025.12.18-2028.12.17
</t>
        </is>
      </c>
      <c r="AI110" s="82">
        <f>DATEDIF(--TEXT(MID(AC110,7,8),"0-00-00"),TODAY(),"y")</f>
        <v/>
      </c>
      <c r="AJ110" s="548">
        <f>TEXT(MID(AC110,7,8),"0000-00-00")</f>
        <v/>
      </c>
      <c r="AK110" s="95">
        <f>CHOOSE(MONTH(AJ110),1,1,1,2,2,2,3,3,3,4,4,4)</f>
        <v/>
      </c>
    </row>
    <row r="111" ht="133" customFormat="1" customHeight="1" s="82">
      <c r="A111" s="82" t="n">
        <v>46</v>
      </c>
      <c r="B111" s="82" t="inlineStr">
        <is>
          <t>朱昭宇</t>
        </is>
      </c>
      <c r="C111" s="82" t="inlineStr">
        <is>
          <t>南京文石</t>
        </is>
      </c>
      <c r="D111" s="82" t="inlineStr">
        <is>
          <t>男</t>
        </is>
      </c>
      <c r="E111" s="82" t="n">
        <v>13000</v>
      </c>
      <c r="F111" s="218" t="inlineStr">
        <is>
          <t xml:space="preserve">工资13K,签订3-4个月合同，无试用期不打折，无其他补贴，无其他费用
</t>
        </is>
      </c>
      <c r="G111" s="541" t="inlineStr">
        <is>
          <t>材料齐全
已回寄员工
项目续签到25年年底，文石签订了短期不固定的</t>
        </is>
      </c>
      <c r="H111" s="82" t="inlineStr">
        <is>
          <t>自动驾驶实车系统验证工程师</t>
        </is>
      </c>
      <c r="I111" s="533" t="n">
        <v>45649</v>
      </c>
      <c r="J111" s="533" t="inlineStr">
        <is>
          <t>/</t>
        </is>
      </c>
      <c r="K111" s="533" t="inlineStr">
        <is>
          <t>无试用期</t>
        </is>
      </c>
      <c r="L111" s="534" t="n">
        <v>45658</v>
      </c>
      <c r="M111" s="82" t="inlineStr">
        <is>
          <t>南京</t>
        </is>
      </c>
      <c r="N111" s="82" t="inlineStr">
        <is>
          <t>南京</t>
        </is>
      </c>
      <c r="O111" s="82" t="inlineStr">
        <is>
          <t>无试用期</t>
        </is>
      </c>
      <c r="P111" s="82" t="n">
        <v>13000</v>
      </c>
      <c r="Q111" s="532" t="n">
        <v>0</v>
      </c>
      <c r="R111" s="532" t="n">
        <v>0</v>
      </c>
      <c r="S111" s="532" t="n">
        <v>0</v>
      </c>
      <c r="T111" s="218" t="inlineStr">
        <is>
          <t>第一次合同：
2024/12/23-2025/4/22
第二份合同2025/4/22-2025/6/30已续签短期，合同写的比较死，是写的是6月底结束
第三份合同2025.7.1-短期结束（员工签署了自愿短期协议）</t>
        </is>
      </c>
      <c r="U111" s="82" t="inlineStr">
        <is>
          <t>0个月</t>
        </is>
      </c>
      <c r="V111" s="82" t="inlineStr">
        <is>
          <t>计算机科学与技术</t>
        </is>
      </c>
      <c r="W111" s="218" t="inlineStr">
        <is>
          <t>2015年9月
2019年7月</t>
        </is>
      </c>
      <c r="X111" s="82" t="inlineStr">
        <is>
          <t>本科</t>
        </is>
      </c>
      <c r="Y111" s="223" t="inlineStr">
        <is>
          <t>1641785380@qq.com</t>
        </is>
      </c>
      <c r="Z111" s="82" t="inlineStr">
        <is>
          <t>湖南省衡东县吴集镇杨梓坪村36组</t>
        </is>
      </c>
      <c r="AA111" s="82" t="inlineStr">
        <is>
          <t>南京市栖霞区紫樾府二单元A区203</t>
        </is>
      </c>
      <c r="AB111" s="82" t="inlineStr">
        <is>
          <t>，17688812041</t>
        </is>
      </c>
      <c r="AC111" s="494" t="inlineStr">
        <is>
          <t>430424199812167214</t>
        </is>
      </c>
      <c r="AD111" s="494" t="inlineStr">
        <is>
          <t>6217003170030909859</t>
        </is>
      </c>
      <c r="AE111" s="532" t="inlineStr">
        <is>
          <t>中国建设银行</t>
        </is>
      </c>
      <c r="AF111" s="82" t="n"/>
      <c r="AG111" s="82" t="inlineStr">
        <is>
          <t>是</t>
        </is>
      </c>
      <c r="AH111" s="547" t="inlineStr">
        <is>
          <t>第一份合同2024/12/23-2025/4/22
第二份合同2025/4/22-2025/6/30已续签短期，合同写的比较死，是写的是6月底结束
第三份合同电子签2025.7.1-短期结束（员工签署了自愿短期协议有社保公积金补贴，目前已经合同完备了不签也行但是合同简约版本）20251224林娜账单转长期了！！！
第四次合同：电子签三年【续签3年】-南京-朱昭宇20260506-20290505签署完成</t>
        </is>
      </c>
      <c r="AI111" s="82">
        <f>DATEDIF(--TEXT(MID(AC111,7,8),"0-00-00"),TODAY(),"y")</f>
        <v/>
      </c>
      <c r="AJ111" s="548">
        <f>TEXT(MID(AC111,7,8),"0000-00-00")</f>
        <v/>
      </c>
      <c r="AK111" s="95">
        <f>CHOOSE(MONTH(AJ111),1,1,1,2,2,2,3,3,3,4,4,4)</f>
        <v/>
      </c>
    </row>
    <row r="112" customFormat="1" s="197">
      <c r="A112" s="197" t="n">
        <v>110</v>
      </c>
      <c r="B112" s="206" t="inlineStr">
        <is>
          <t>王盛
（2024/2/8日已离职）</t>
        </is>
      </c>
      <c r="C112" s="206" t="inlineStr">
        <is>
          <t>/</t>
        </is>
      </c>
      <c r="D112" s="197" t="inlineStr">
        <is>
          <t>男</t>
        </is>
      </c>
      <c r="E112" s="197" t="n">
        <v>16500</v>
      </c>
      <c r="F112" s="206" t="inlineStr">
        <is>
          <t>工资16.5k 签订三年合同，试用期6个月，前3个月8折。无其他补贴，无其他费用</t>
        </is>
      </c>
      <c r="G112" s="550" t="inlineStr">
        <is>
          <t>材料齐全
已回寄员工
2024/2/8日lastday
王盛还剩3天调休假，已结算</t>
        </is>
      </c>
      <c r="H112" s="197" t="inlineStr">
        <is>
          <t>MCU测试工程师</t>
        </is>
      </c>
      <c r="I112" s="551" t="n">
        <v>45649</v>
      </c>
      <c r="J112" s="552" t="inlineStr">
        <is>
          <t>2024/2/8日lastday
王盛还剩3天调休假，已结算</t>
        </is>
      </c>
      <c r="K112" s="551" t="n">
        <v>45830</v>
      </c>
      <c r="L112" s="553" t="n">
        <v>45658</v>
      </c>
      <c r="M112" s="197" t="inlineStr">
        <is>
          <t>上海</t>
        </is>
      </c>
      <c r="N112" s="197" t="inlineStr">
        <is>
          <t>上海</t>
        </is>
      </c>
      <c r="O112" s="230" t="n">
        <v>13200</v>
      </c>
      <c r="P112" s="230" t="n">
        <v>16500</v>
      </c>
      <c r="Q112" s="532" t="n">
        <v>0</v>
      </c>
      <c r="R112" s="532" t="n">
        <v>0</v>
      </c>
      <c r="S112" s="532" t="n">
        <v>0</v>
      </c>
      <c r="T112" s="206" t="inlineStr">
        <is>
          <t>第一次合同：3年合同
2024/12/23-2027/12/22</t>
        </is>
      </c>
      <c r="U112" s="197" t="inlineStr">
        <is>
          <t>6个月</t>
        </is>
      </c>
      <c r="V112" s="197" t="inlineStr">
        <is>
          <t>邮政管理</t>
        </is>
      </c>
      <c r="W112" s="206" t="inlineStr">
        <is>
          <t>2020年9月
2022年6月</t>
        </is>
      </c>
      <c r="X112" s="197" t="inlineStr">
        <is>
          <t>本科</t>
        </is>
      </c>
      <c r="Y112" s="224" t="inlineStr">
        <is>
          <t>1079584878@qq.com</t>
        </is>
      </c>
      <c r="Z112" s="197" t="inlineStr">
        <is>
          <t>江苏省苏州市吴中区善由长沙新村3号</t>
        </is>
      </c>
      <c r="AA112" s="197" t="inlineStr">
        <is>
          <t>上海市浦东新区张江镇川杨新宛顺常口442栋、</t>
        </is>
      </c>
      <c r="AB112" s="197" t="inlineStr">
        <is>
          <t>，13646217813</t>
        </is>
      </c>
      <c r="AC112" s="491" t="inlineStr">
        <is>
          <t>320586199909099413</t>
        </is>
      </c>
      <c r="AD112" s="491" t="inlineStr">
        <is>
          <t>6217001590029913806</t>
        </is>
      </c>
      <c r="AE112" s="549" t="inlineStr">
        <is>
          <t>中国建设银行</t>
        </is>
      </c>
      <c r="AF112" s="197" t="n"/>
      <c r="AG112" s="197" t="inlineStr">
        <is>
          <t>否</t>
        </is>
      </c>
      <c r="AH112" s="551" t="inlineStr">
        <is>
          <t>离职啦</t>
        </is>
      </c>
      <c r="AI112" s="82">
        <f>DATEDIF(--TEXT(MID(AC112,7,8),"0-00-00"),TODAY(),"y")</f>
        <v/>
      </c>
      <c r="AJ112" s="548">
        <f>TEXT(MID(AC112,7,8),"0000-00-00")</f>
        <v/>
      </c>
      <c r="AK112" s="95">
        <f>CHOOSE(MONTH(AJ112),1,1,1,2,2,2,3,3,3,4,4,4)</f>
        <v/>
      </c>
    </row>
    <row r="113" customFormat="1" s="82">
      <c r="A113" s="82" t="n">
        <v>47</v>
      </c>
      <c r="B113" s="82" t="inlineStr">
        <is>
          <t>余盛波</t>
        </is>
      </c>
      <c r="C113" s="82" t="inlineStr">
        <is>
          <t>邦芒</t>
        </is>
      </c>
      <c r="D113" s="82" t="inlineStr">
        <is>
          <t>男</t>
        </is>
      </c>
      <c r="E113" s="82" t="n">
        <v>16000</v>
      </c>
      <c r="F113" s="218" t="inlineStr">
        <is>
          <t>工资16k，签订一年合同，试用期2个月，2个月打8折。（预计项目一年结束）</t>
        </is>
      </c>
      <c r="G113" s="541" t="inlineStr">
        <is>
          <t>材料齐全
已回寄员工</t>
        </is>
      </c>
      <c r="H113" s="82" t="inlineStr">
        <is>
          <t>智能驾驶整车改装工程师</t>
        </is>
      </c>
      <c r="I113" s="533" t="n">
        <v>45649</v>
      </c>
      <c r="J113" s="533" t="inlineStr">
        <is>
          <t>/</t>
        </is>
      </c>
      <c r="K113" s="533" t="n">
        <v>45710</v>
      </c>
      <c r="L113" s="534" t="n">
        <v>45658</v>
      </c>
      <c r="M113" s="82" t="inlineStr">
        <is>
          <t>上海</t>
        </is>
      </c>
      <c r="N113" s="82" t="inlineStr">
        <is>
          <t>上海</t>
        </is>
      </c>
      <c r="O113" s="82" t="n">
        <v>12800</v>
      </c>
      <c r="P113" s="82" t="n">
        <v>16000</v>
      </c>
      <c r="Q113" s="532" t="n">
        <v>0</v>
      </c>
      <c r="R113" s="532" t="n">
        <v>0</v>
      </c>
      <c r="S113" s="532" t="n">
        <v>0</v>
      </c>
      <c r="T113" s="218" t="inlineStr">
        <is>
          <t>第一次合同：1年：
2024/12/23-2025/12/22</t>
        </is>
      </c>
      <c r="U113" s="82" t="inlineStr">
        <is>
          <t>2个月</t>
        </is>
      </c>
      <c r="V113" s="82" t="inlineStr">
        <is>
          <t>机电一体化</t>
        </is>
      </c>
      <c r="W113" s="218" t="inlineStr">
        <is>
          <t>2003年9月
2006年6月</t>
        </is>
      </c>
      <c r="X113" s="82" t="inlineStr">
        <is>
          <t>大专</t>
        </is>
      </c>
      <c r="Y113" s="219" t="inlineStr">
        <is>
          <t>2775203997@qq.com</t>
        </is>
      </c>
      <c r="Z113" s="82" t="inlineStr">
        <is>
          <t>河北省英山县温泉镇蛇龙尖村1组</t>
        </is>
      </c>
      <c r="AA113" s="82" t="inlineStr">
        <is>
          <t>苏州市昆山市花桥镇泗经路88号</t>
        </is>
      </c>
      <c r="AB113" s="82" t="inlineStr">
        <is>
          <t>，17621867919</t>
        </is>
      </c>
      <c r="AC113" s="494" t="inlineStr">
        <is>
          <t>421124198905252010</t>
        </is>
      </c>
      <c r="AD113" s="494" t="inlineStr">
        <is>
          <t>6227002434216066946</t>
        </is>
      </c>
      <c r="AE113" s="532" t="inlineStr">
        <is>
          <t>中国建设银行</t>
        </is>
      </c>
      <c r="AF113" s="82" t="n"/>
      <c r="AG113" s="82" t="inlineStr">
        <is>
          <t>是</t>
        </is>
      </c>
      <c r="AH113" s="547" t="inlineStr">
        <is>
          <t>第一次合同：1年：2024/12/23-2025/12/22
第二次合同：南京文石不愿转上海文石-3年：2025/12/23-2028/12/22</t>
        </is>
      </c>
      <c r="AI113" s="82">
        <f>DATEDIF(--TEXT(MID(AC113,7,8),"0-00-00"),TODAY(),"y")</f>
        <v/>
      </c>
      <c r="AJ113" s="548">
        <f>TEXT(MID(AC113,7,8),"0000-00-00")</f>
        <v/>
      </c>
      <c r="AK113" s="95">
        <f>CHOOSE(MONTH(AJ113),1,1,1,2,2,2,3,3,3,4,4,4)</f>
        <v/>
      </c>
    </row>
    <row r="114" customFormat="1" s="82">
      <c r="A114" s="82" t="n">
        <v>48</v>
      </c>
      <c r="B114" s="82" t="inlineStr">
        <is>
          <t>张阳</t>
        </is>
      </c>
      <c r="C114" s="82" t="inlineStr">
        <is>
          <t>今才</t>
        </is>
      </c>
      <c r="D114" s="82" t="inlineStr">
        <is>
          <t>男</t>
        </is>
      </c>
      <c r="E114" s="82">
        <f>18000+2000</f>
        <v/>
      </c>
      <c r="F114" s="218" t="inlineStr">
        <is>
          <t>工资18k，签订三年合同，试用期6个月，前3个月打8折。无其他补贴，无其他费用。
张阳自2026年5月起涨薪2000元，现在工资18000+2000=20000</t>
        </is>
      </c>
      <c r="G114" s="541" t="inlineStr">
        <is>
          <t>材料齐全
已回寄员工</t>
        </is>
      </c>
      <c r="H114" s="82" t="inlineStr">
        <is>
          <t>功能FAE</t>
        </is>
      </c>
      <c r="I114" s="533" t="n">
        <v>45651</v>
      </c>
      <c r="J114" s="533" t="inlineStr">
        <is>
          <t>/</t>
        </is>
      </c>
      <c r="K114" s="533" t="n">
        <v>45832</v>
      </c>
      <c r="L114" s="534" t="n">
        <v>45658</v>
      </c>
      <c r="M114" s="82" t="inlineStr">
        <is>
          <t>重庆</t>
        </is>
      </c>
      <c r="N114" s="82" t="inlineStr">
        <is>
          <t>重庆</t>
        </is>
      </c>
      <c r="O114" s="82" t="n">
        <v>14400</v>
      </c>
      <c r="P114" s="82" t="n">
        <v>18000</v>
      </c>
      <c r="Q114" s="532" t="n">
        <v>0</v>
      </c>
      <c r="R114" s="532" t="n">
        <v>0</v>
      </c>
      <c r="S114" s="532" t="n">
        <v>0</v>
      </c>
      <c r="T114" s="218" t="inlineStr">
        <is>
          <t>第一次合同：3年：
2024/12/25-2027/12/24</t>
        </is>
      </c>
      <c r="U114" s="82" t="inlineStr">
        <is>
          <t>第一次合同：3年：2024/12/25-2027/12/24</t>
        </is>
      </c>
      <c r="V114" s="82" t="inlineStr">
        <is>
          <t>航空服务</t>
        </is>
      </c>
      <c r="W114" s="218" t="inlineStr">
        <is>
          <t>2016年3月
2018年6月</t>
        </is>
      </c>
      <c r="X114" s="82" t="inlineStr">
        <is>
          <t>大专</t>
        </is>
      </c>
      <c r="Y114" s="219" t="inlineStr">
        <is>
          <t>773802540@qq.com</t>
        </is>
      </c>
      <c r="Z114" s="82" t="inlineStr">
        <is>
          <t>重庆市渝北区兴科五路12号8单元2-3</t>
        </is>
      </c>
      <c r="AA114" s="82" t="inlineStr">
        <is>
          <t>重庆市渝北区 金开大道 1008号</t>
        </is>
      </c>
      <c r="AB114" s="82" t="inlineStr">
        <is>
          <t xml:space="preserve">，18996398878 </t>
        </is>
      </c>
      <c r="AC114" s="494" t="inlineStr">
        <is>
          <t xml:space="preserve">511028199901106370 </t>
        </is>
      </c>
      <c r="AD114" s="494" t="inlineStr">
        <is>
          <t>6217003760116314212</t>
        </is>
      </c>
      <c r="AE114" s="532" t="inlineStr">
        <is>
          <t>中国建设银行</t>
        </is>
      </c>
      <c r="AF114" s="82" t="n"/>
      <c r="AG114" s="82" t="inlineStr">
        <is>
          <t>是</t>
        </is>
      </c>
      <c r="AH114" s="533" t="inlineStr">
        <is>
          <t>第一次合同：3年：2024/12/25-2027/12/24</t>
        </is>
      </c>
      <c r="AI114" s="82">
        <f>DATEDIF(--TEXT(MID(AC114,7,8),"0-00-00"),TODAY(),"y")</f>
        <v/>
      </c>
      <c r="AJ114" s="548">
        <f>TEXT(MID(AC114,7,8),"0000-00-00")</f>
        <v/>
      </c>
      <c r="AK114" s="95">
        <f>CHOOSE(MONTH(AJ114),1,1,1,2,2,2,3,3,3,4,4,4)</f>
        <v/>
      </c>
    </row>
    <row r="115" customFormat="1" s="197">
      <c r="A115" s="197" t="n">
        <v>113</v>
      </c>
      <c r="B115" s="206" t="inlineStr">
        <is>
          <t xml:space="preserve">孟凯
（2024/2/14日已离职）
</t>
        </is>
      </c>
      <c r="C115" s="206" t="inlineStr">
        <is>
          <t>/</t>
        </is>
      </c>
      <c r="D115" s="197" t="inlineStr">
        <is>
          <t>男</t>
        </is>
      </c>
      <c r="E115" s="197" t="n">
        <v>13000</v>
      </c>
      <c r="F115" s="206" t="inlineStr">
        <is>
          <t>工资：10.4K/13K
签一年合同 试用期2个月打八折
到岗时间：2024年12月30日
没有其他任何补贴</t>
        </is>
      </c>
      <c r="G115" s="550" t="inlineStr">
        <is>
          <t>材料缺体检报告，员工没时间体检
1.19日也已回寄员工了
2024/2/14日lastday</t>
        </is>
      </c>
      <c r="H115" s="197" t="inlineStr">
        <is>
          <t>智能驾驶整车改装工程师</t>
        </is>
      </c>
      <c r="I115" s="551" t="n">
        <v>45656</v>
      </c>
      <c r="J115" s="551" t="inlineStr">
        <is>
          <t>2024/2/14日lastday</t>
        </is>
      </c>
      <c r="K115" s="533" t="inlineStr">
        <is>
          <t>2025年2月29日</t>
        </is>
      </c>
      <c r="L115" s="553" t="n">
        <v>45658</v>
      </c>
      <c r="M115" s="197" t="inlineStr">
        <is>
          <t>上海</t>
        </is>
      </c>
      <c r="N115" s="197" t="inlineStr">
        <is>
          <t>上海</t>
        </is>
      </c>
      <c r="O115" s="230" t="n">
        <v>10400</v>
      </c>
      <c r="P115" s="230" t="n">
        <v>13000</v>
      </c>
      <c r="Q115" s="532" t="n">
        <v>0</v>
      </c>
      <c r="R115" s="532" t="n">
        <v>0</v>
      </c>
      <c r="S115" s="532" t="n">
        <v>0</v>
      </c>
      <c r="T115" s="206" t="inlineStr">
        <is>
          <t>第一次合同：1年：
2024/12/30-2025/12/29</t>
        </is>
      </c>
      <c r="U115" s="197" t="inlineStr">
        <is>
          <t>2个月</t>
        </is>
      </c>
      <c r="V115" s="197" t="inlineStr">
        <is>
          <t>计算机及应用</t>
        </is>
      </c>
      <c r="W115" s="197" t="inlineStr">
        <is>
          <t>2020年06</t>
        </is>
      </c>
      <c r="X115" s="197" t="inlineStr">
        <is>
          <t>非全日制大专</t>
        </is>
      </c>
      <c r="Y115" s="197" t="inlineStr">
        <is>
          <t>961712747@qq.com</t>
        </is>
      </c>
      <c r="Z115" s="197" t="inlineStr">
        <is>
          <t>江苏省阜宁县羊寨镇孟滩村二组33号</t>
        </is>
      </c>
      <c r="AA115" s="197" t="inlineStr">
        <is>
          <t>上海市宝山区月浦十村39号-601室</t>
        </is>
      </c>
      <c r="AB115" s="197" t="inlineStr">
        <is>
          <t>‘17717860190</t>
        </is>
      </c>
      <c r="AC115" s="491" t="inlineStr">
        <is>
          <t>32092319950824361X</t>
        </is>
      </c>
      <c r="AD115" s="491" t="inlineStr">
        <is>
          <t>6230941210002323396</t>
        </is>
      </c>
      <c r="AE115" s="549" t="inlineStr">
        <is>
          <t>中国建设银行</t>
        </is>
      </c>
      <c r="AF115" s="197" t="n"/>
      <c r="AG115" s="197" t="inlineStr">
        <is>
          <t>否</t>
        </is>
      </c>
      <c r="AH115" s="551" t="inlineStr">
        <is>
          <t>离职啦</t>
        </is>
      </c>
      <c r="AI115" s="82">
        <f>DATEDIF(--TEXT(MID(AC115,7,8),"0-00-00"),TODAY(),"y")</f>
        <v/>
      </c>
      <c r="AJ115" s="548">
        <f>TEXT(MID(AC115,7,8),"0000-00-00")</f>
        <v/>
      </c>
      <c r="AK115" s="95">
        <f>CHOOSE(MONTH(AJ115),1,1,1,2,2,2,3,3,3,4,4,4)</f>
        <v/>
      </c>
    </row>
    <row r="116" customFormat="1" s="197">
      <c r="A116" s="197" t="n">
        <v>55</v>
      </c>
      <c r="B116" s="206" t="inlineStr">
        <is>
          <t>明坤
（2025/9/22日已离职）</t>
        </is>
      </c>
      <c r="C116" s="206" t="inlineStr">
        <is>
          <t>邦芒</t>
        </is>
      </c>
      <c r="D116" s="197" t="inlineStr">
        <is>
          <t>男</t>
        </is>
      </c>
      <c r="E116" s="197" t="n">
        <v>13000</v>
      </c>
      <c r="F116" s="206" t="inlineStr">
        <is>
          <t>工资13k，签订一年合同，试用期2个月，2个月打8折。无其他补贴，无其他费用</t>
        </is>
      </c>
      <c r="G116" s="550" t="inlineStr">
        <is>
          <t>材料齐全
已回寄员工
（预计项目一年结束，候选人不知情）</t>
        </is>
      </c>
      <c r="H116" s="197" t="inlineStr">
        <is>
          <t>智能驾驶整车改装工程师</t>
        </is>
      </c>
      <c r="I116" s="551" t="n">
        <v>45656</v>
      </c>
      <c r="J116" s="551" t="inlineStr">
        <is>
          <t>2025/9/22日lastday
丢失资产已邮寄公司，
调休数据最终结余10.5天林娜已确认已发放员工。整体闭环了。</t>
        </is>
      </c>
      <c r="K116" s="533" t="inlineStr">
        <is>
          <t>2025年2月29日</t>
        </is>
      </c>
      <c r="L116" s="553" t="n">
        <v>45658</v>
      </c>
      <c r="M116" s="197" t="inlineStr">
        <is>
          <t>上海</t>
        </is>
      </c>
      <c r="N116" s="197" t="inlineStr">
        <is>
          <t>上海</t>
        </is>
      </c>
      <c r="O116" s="230" t="n">
        <v>10400</v>
      </c>
      <c r="P116" s="230" t="n">
        <v>13000</v>
      </c>
      <c r="Q116" s="532" t="n">
        <v>0</v>
      </c>
      <c r="R116" s="532" t="n">
        <v>0</v>
      </c>
      <c r="S116" s="532" t="n">
        <v>0</v>
      </c>
      <c r="T116" s="206" t="inlineStr">
        <is>
          <t>第一次合同：1年
2024/12/30-2025/12/29</t>
        </is>
      </c>
      <c r="U116" s="197" t="inlineStr">
        <is>
          <t>2个月</t>
        </is>
      </c>
      <c r="V116" s="197" t="inlineStr">
        <is>
          <t>汽车维修</t>
        </is>
      </c>
      <c r="W116" s="197" t="inlineStr">
        <is>
          <t>2013年9月
2016年6月</t>
        </is>
      </c>
      <c r="X116" s="197" t="inlineStr">
        <is>
          <t>大专</t>
        </is>
      </c>
      <c r="Y116" s="197" t="inlineStr">
        <is>
          <t xml:space="preserve">951709585@qq.com </t>
        </is>
      </c>
      <c r="Z116" s="197" t="inlineStr">
        <is>
          <t>湖北省阳新县浮屠镇华道村港明十一组751号</t>
        </is>
      </c>
      <c r="AA116" s="197" t="inlineStr">
        <is>
          <t>上海市浦东新区川沙华路村瞿家宅60号105</t>
        </is>
      </c>
      <c r="AB116" s="197" t="inlineStr">
        <is>
          <t>，19821266016</t>
        </is>
      </c>
      <c r="AC116" s="491" t="inlineStr">
        <is>
          <t>420222199803293758</t>
        </is>
      </c>
      <c r="AD116" s="491" t="inlineStr">
        <is>
          <t>6217001210087455075</t>
        </is>
      </c>
      <c r="AE116" s="549" t="inlineStr">
        <is>
          <t>中国建设银行</t>
        </is>
      </c>
      <c r="AF116" s="197" t="n"/>
      <c r="AG116" s="197" t="inlineStr">
        <is>
          <t>否</t>
        </is>
      </c>
      <c r="AH116" s="551" t="inlineStr">
        <is>
          <t>第一次合同：1年：
2024/12/30-2025/12/29
实际一年后释放，员工不知道</t>
        </is>
      </c>
      <c r="AI116" s="82">
        <f>DATEDIF(--TEXT(MID(AC116,7,8),"0-00-00"),TODAY(),"y")</f>
        <v/>
      </c>
      <c r="AJ116" s="548">
        <f>TEXT(MID(AC116,7,8),"0000-00-00")</f>
        <v/>
      </c>
      <c r="AK116" s="95">
        <f>CHOOSE(MONTH(AJ116),1,1,1,2,2,2,3,3,3,4,4,4)</f>
        <v/>
      </c>
    </row>
    <row r="117" customFormat="1" s="82">
      <c r="A117" s="82" t="n">
        <v>49</v>
      </c>
      <c r="B117" s="218" t="inlineStr">
        <is>
          <t>冉宗敬
2026年5月8日lastday</t>
        </is>
      </c>
      <c r="C117" s="218" t="inlineStr">
        <is>
          <t>今才</t>
        </is>
      </c>
      <c r="D117" s="82" t="inlineStr">
        <is>
          <t>女</t>
        </is>
      </c>
      <c r="E117" s="82" t="n">
        <v>12000</v>
      </c>
      <c r="F117" s="218" t="inlineStr">
        <is>
          <t>工资12k，签订一年合同，试用期2个月，2个月打8折。无其他补贴，无其他费用</t>
        </is>
      </c>
      <c r="G117" s="541" t="inlineStr">
        <is>
          <t>材料齐全
已回寄员工
(项目一年起步，已和候选人沟通确认好，如果后续项目继续就续签,不继续的话就结束)</t>
        </is>
      </c>
      <c r="H117" s="82" t="inlineStr">
        <is>
          <t>功能FAE</t>
        </is>
      </c>
      <c r="I117" s="533" t="n">
        <v>45656</v>
      </c>
      <c r="J117" s="547" t="inlineStr">
        <is>
          <t>2026年5月8日lastday个人原因离职，理由是上家单位喊她回去上班涨薪4-5k,所以放弃地平线。
离职交接已完成
1、6月5日结算（4月25-5月8日薪资）
2、无请假调休情况，均是正常出勤；剩余调休天数：17.19天
3、4月20日的报销还没有结算，和她讲了帮忙同步财务</t>
        </is>
      </c>
      <c r="K117" s="533" t="inlineStr">
        <is>
          <t>2025年2月29日</t>
        </is>
      </c>
      <c r="L117" s="534" t="n">
        <v>45658</v>
      </c>
      <c r="M117" s="82" t="inlineStr">
        <is>
          <t>重庆</t>
        </is>
      </c>
      <c r="N117" s="82" t="inlineStr">
        <is>
          <t>重庆</t>
        </is>
      </c>
      <c r="O117" s="82" t="n">
        <v>9600</v>
      </c>
      <c r="P117" s="82" t="n">
        <v>12000</v>
      </c>
      <c r="Q117" s="532" t="n">
        <v>0</v>
      </c>
      <c r="R117" s="532" t="n">
        <v>0</v>
      </c>
      <c r="S117" s="532" t="n">
        <v>0</v>
      </c>
      <c r="T117" s="218" t="inlineStr">
        <is>
          <t>第一次合同：1年
2024/12/30-2025/12/29
第二次合同：1年：2025/12/30-2028/12/29</t>
        </is>
      </c>
      <c r="U117" s="82" t="inlineStr">
        <is>
          <t>2个月</t>
        </is>
      </c>
      <c r="V117" s="82" t="inlineStr">
        <is>
          <t>学前教育</t>
        </is>
      </c>
      <c r="W117" s="218" t="inlineStr">
        <is>
          <t>2019年9月
2021年7月</t>
        </is>
      </c>
      <c r="X117" s="82" t="inlineStr">
        <is>
          <t>大专</t>
        </is>
      </c>
      <c r="Y117" s="82" t="inlineStr">
        <is>
          <t>3395628429@qq.com</t>
        </is>
      </c>
      <c r="Z117" s="82" t="inlineStr">
        <is>
          <t>重庆市城口县巴山镇元坝村7组4号</t>
        </is>
      </c>
      <c r="AA117" s="82" t="inlineStr">
        <is>
          <t>重庆市江北区中商两江公馆2幢16-03</t>
        </is>
      </c>
      <c r="AB117" s="82" t="inlineStr">
        <is>
          <t>，15580110650</t>
        </is>
      </c>
      <c r="AC117" s="494" t="inlineStr">
        <is>
          <t>500229200108063520</t>
        </is>
      </c>
      <c r="AD117" s="494" t="inlineStr">
        <is>
          <t>6217003760188785315</t>
        </is>
      </c>
      <c r="AE117" s="82" t="inlineStr">
        <is>
          <t>中国建设银行</t>
        </is>
      </c>
      <c r="AF117" s="82" t="n"/>
      <c r="AG117" s="82" t="inlineStr">
        <is>
          <t>是</t>
        </is>
      </c>
      <c r="AH117" s="547" t="inlineStr">
        <is>
          <t>第一次合同：1年：2024/12/30-2025/12/29
员工知道自己一年就会释放
第二次合同：1年：2025/12/30-2028/12/29
在20251224林娜账单转长期了</t>
        </is>
      </c>
      <c r="AI117" s="82">
        <f>DATEDIF(--TEXT(MID(AC117,7,8),"0-00-00"),TODAY(),"y")</f>
        <v/>
      </c>
      <c r="AJ117" s="548">
        <f>TEXT(MID(AC117,7,8),"0000-00-00")</f>
        <v/>
      </c>
      <c r="AK117" s="95">
        <f>CHOOSE(MONTH(AJ117),1,1,1,2,2,2,3,3,3,4,4,4)</f>
        <v/>
      </c>
    </row>
    <row r="118" customFormat="1" s="532">
      <c r="A118" s="82" t="n">
        <v>50</v>
      </c>
      <c r="B118" s="532" t="inlineStr">
        <is>
          <t>史勇奇</t>
        </is>
      </c>
      <c r="C118" s="532" t="inlineStr">
        <is>
          <t>上海文石</t>
        </is>
      </c>
      <c r="D118" s="532" t="inlineStr">
        <is>
          <t>男</t>
        </is>
      </c>
      <c r="E118" s="82" t="n">
        <v>13000</v>
      </c>
      <c r="F118" s="218" t="inlineStr">
        <is>
          <t>工资13k，签订一年合同，试用期2个月，2个月打8折。无其他补贴，无其他费用</t>
        </is>
      </c>
      <c r="G118" s="541" t="inlineStr">
        <is>
          <t>材料齐全
已回寄员工
（预计项目一年结束，候选人不知情）</t>
        </is>
      </c>
      <c r="H118" s="82" t="inlineStr">
        <is>
          <t>智能驾驶整车改装工程师</t>
        </is>
      </c>
      <c r="I118" s="533" t="n">
        <v>45663</v>
      </c>
      <c r="J118" s="533" t="inlineStr">
        <is>
          <t>/</t>
        </is>
      </c>
      <c r="K118" s="533" t="n">
        <v>45721</v>
      </c>
      <c r="L118" s="534" t="n">
        <v>45658</v>
      </c>
      <c r="M118" s="82" t="inlineStr">
        <is>
          <t>上海</t>
        </is>
      </c>
      <c r="N118" s="82" t="inlineStr">
        <is>
          <t>上海</t>
        </is>
      </c>
      <c r="O118" s="532" t="n">
        <v>10400</v>
      </c>
      <c r="P118" s="532" t="n">
        <v>13000</v>
      </c>
      <c r="Q118" s="532" t="n">
        <v>0</v>
      </c>
      <c r="R118" s="532" t="n">
        <v>0</v>
      </c>
      <c r="S118" s="532" t="n">
        <v>0</v>
      </c>
      <c r="T118" s="218" t="inlineStr">
        <is>
          <t>第一次合同：南京文石：1年：2025/1/6-2026/1/5
第二次合同：上海文石：3年：2026/1/6-2029/1/5</t>
        </is>
      </c>
      <c r="U118" s="82" t="inlineStr">
        <is>
          <t>2个月</t>
        </is>
      </c>
      <c r="V118" s="532" t="inlineStr">
        <is>
          <t>汽车检测与维修技术</t>
        </is>
      </c>
      <c r="W118" s="218" t="inlineStr">
        <is>
          <t>2017年9月
2020年7月</t>
        </is>
      </c>
      <c r="X118" s="532" t="inlineStr">
        <is>
          <t>大专</t>
        </is>
      </c>
      <c r="Y118" s="555" t="inlineStr">
        <is>
          <t>1601441012@qq.com</t>
        </is>
      </c>
      <c r="Z118" s="532" t="inlineStr">
        <is>
          <t>河南省遂平县沈寨镇徐庄村徐庄13-017</t>
        </is>
      </c>
      <c r="AA118" s="541" t="inlineStr">
        <is>
          <t>收件人: 史勇奇
手机号码: 18749960172
所在地区: 上海上海市浦东新区三林镇
详细地址: 三舒路东方康达家苑二期2号楼3104</t>
        </is>
      </c>
      <c r="AB118" s="82" t="n">
        <v>18749960172</v>
      </c>
      <c r="AC118" s="546" t="inlineStr">
        <is>
          <t>412823199904032839</t>
        </is>
      </c>
      <c r="AD118" s="546" t="inlineStr">
        <is>
          <t>6217001180004360411</t>
        </is>
      </c>
      <c r="AE118" s="82" t="inlineStr">
        <is>
          <t>中国建设银行</t>
        </is>
      </c>
      <c r="AF118" s="532" t="n"/>
      <c r="AG118" s="532" t="inlineStr">
        <is>
          <t>是</t>
        </is>
      </c>
      <c r="AH118" s="547" t="inlineStr">
        <is>
          <t>第一次合同：南京文石：1年：2025/1/6-2026/1/5纸质
第二次合同：上海文石：3年：2026/1/6-2029/1/5电子签
从26年2月开始由上海文石缴纳五险一金
实际一年后释放，员工不知道</t>
        </is>
      </c>
      <c r="AI118" s="82">
        <f>DATEDIF(--TEXT(MID(AC118,7,8),"0-00-00"),TODAY(),"y")</f>
        <v/>
      </c>
      <c r="AJ118" s="548">
        <f>TEXT(MID(AC118,7,8),"0000-00-00")</f>
        <v/>
      </c>
      <c r="AK118" s="95">
        <f>CHOOSE(MONTH(AJ118),1,1,1,2,2,2,3,3,3,4,4,4)</f>
        <v/>
      </c>
    </row>
    <row r="119" customFormat="1" s="554">
      <c r="A119" s="230" t="n">
        <v>58</v>
      </c>
      <c r="B119" s="554" t="inlineStr">
        <is>
          <t>刘强-闹事？要被辞退？</t>
        </is>
      </c>
      <c r="C119" s="554" t="inlineStr">
        <is>
          <t>邦芒</t>
        </is>
      </c>
      <c r="D119" s="554" t="inlineStr">
        <is>
          <t>男</t>
        </is>
      </c>
      <c r="E119" s="230" t="n">
        <v>13000</v>
      </c>
      <c r="F119" s="228" t="inlineStr">
        <is>
          <t>工资13k，签订一年合同，试用期2个月，2个月打8折。无其他补贴，无其他费用</t>
        </is>
      </c>
      <c r="G119" s="562" t="inlineStr">
        <is>
          <t>材料齐全
已回寄员工
（预计项目一年结束，候选人不知情）</t>
        </is>
      </c>
      <c r="H119" s="230" t="inlineStr">
        <is>
          <t>智能驾驶整车改装工程师</t>
        </is>
      </c>
      <c r="I119" s="571" t="n">
        <v>45663</v>
      </c>
      <c r="J119" s="572" t="inlineStr">
        <is>
          <t xml:space="preserve">2025.11.5离项通知书已发
2025.11.17文石被迫离职？
</t>
        </is>
      </c>
      <c r="K119" s="533" t="n">
        <v>45721</v>
      </c>
      <c r="L119" s="573" t="n">
        <v>45658</v>
      </c>
      <c r="M119" s="230" t="inlineStr">
        <is>
          <t>上海</t>
        </is>
      </c>
      <c r="N119" s="230" t="inlineStr">
        <is>
          <t>上海</t>
        </is>
      </c>
      <c r="O119" s="554" t="n">
        <v>10400</v>
      </c>
      <c r="P119" s="554" t="n">
        <v>13000</v>
      </c>
      <c r="Q119" s="554" t="n">
        <v>0</v>
      </c>
      <c r="R119" s="554" t="n">
        <v>0</v>
      </c>
      <c r="S119" s="554" t="n">
        <v>0</v>
      </c>
      <c r="T119" s="228" t="inlineStr">
        <is>
          <t>第一次合同：1年：
2025/1/6-2026/1/5</t>
        </is>
      </c>
      <c r="U119" s="230" t="inlineStr">
        <is>
          <t>2个月</t>
        </is>
      </c>
      <c r="V119" s="554" t="inlineStr">
        <is>
          <t>汽车检测与维修技术（新能源汽车方向）</t>
        </is>
      </c>
      <c r="W119" s="228" t="inlineStr">
        <is>
          <t>2014年9月
2017年6月</t>
        </is>
      </c>
      <c r="X119" s="554" t="inlineStr">
        <is>
          <t>大专</t>
        </is>
      </c>
      <c r="Y119" s="574" t="inlineStr">
        <is>
          <t>1848525275@qq.com</t>
        </is>
      </c>
      <c r="Z119" s="554" t="inlineStr">
        <is>
          <t>甘肃省通渭县常家河镇绽沟村庄儿社</t>
        </is>
      </c>
      <c r="AA119" s="562" t="inlineStr">
        <is>
          <t>地址：上海市浦东新区苗桥路935弄
刘强 13512875259</t>
        </is>
      </c>
      <c r="AB119" s="230" t="n">
        <v>13512875259</v>
      </c>
      <c r="AC119" s="575" t="inlineStr">
        <is>
          <t>622424199301233715</t>
        </is>
      </c>
      <c r="AD119" s="575" t="inlineStr">
        <is>
          <t>6217000066013950444</t>
        </is>
      </c>
      <c r="AE119" s="230" t="inlineStr">
        <is>
          <t>中国建设银行</t>
        </is>
      </c>
      <c r="AF119" s="554" t="n"/>
      <c r="AG119" s="554" t="inlineStr">
        <is>
          <t>否</t>
        </is>
      </c>
      <c r="AH119" s="576" t="inlineStr">
        <is>
          <t>第一次合同：1年：2025/1/6-2026/1/5
2026/1/5实际一年后释放，员工不知道</t>
        </is>
      </c>
      <c r="AI119" s="230">
        <f>DATEDIF(--TEXT(MID(AC119,7,8),"0-00-00"),TODAY(),"y")</f>
        <v/>
      </c>
      <c r="AJ119" s="577">
        <f>TEXT(MID(AC119,7,8),"0000-00-00")</f>
        <v/>
      </c>
      <c r="AK119" s="237">
        <f>CHOOSE(MONTH(AJ119),1,1,1,2,2,2,3,3,3,4,4,4)</f>
        <v/>
      </c>
    </row>
    <row r="120" customFormat="1" s="549">
      <c r="A120" s="197" t="n">
        <v>118</v>
      </c>
      <c r="B120" s="550" t="inlineStr">
        <is>
          <t>杨驰
（2025年5月9日已离职）</t>
        </is>
      </c>
      <c r="C120" s="550" t="inlineStr">
        <is>
          <t>/</t>
        </is>
      </c>
      <c r="D120" s="549" t="inlineStr">
        <is>
          <t>男</t>
        </is>
      </c>
      <c r="E120" s="197" t="n">
        <v>16000</v>
      </c>
      <c r="F120" s="550" t="inlineStr">
        <is>
          <t>工资16k，三年合同，试用期6个月</t>
        </is>
      </c>
      <c r="G120" s="550" t="inlineStr">
        <is>
          <t>材料齐全，已回寄员工
（项目lastday是2025年5月9日，文石额外赔偿2000元，全部赔偿闭环了。文石和创达应有2周赔偿已加账单
杨驰：协商离职，需要领取失业金,协商离职证明已发。</t>
        </is>
      </c>
      <c r="H120" s="549" t="inlineStr">
        <is>
          <t>QNX测试工程师</t>
        </is>
      </c>
      <c r="I120" s="551" t="n">
        <v>45663</v>
      </c>
      <c r="J120" s="552" t="inlineStr">
        <is>
          <t>项目lastday是2025年5月9日</t>
        </is>
      </c>
      <c r="K120" s="533" t="n">
        <v>45843</v>
      </c>
      <c r="L120" s="553" t="n">
        <v>45658</v>
      </c>
      <c r="M120" s="549" t="inlineStr">
        <is>
          <t>杭州</t>
        </is>
      </c>
      <c r="N120" s="549" t="inlineStr">
        <is>
          <t>杭州</t>
        </is>
      </c>
      <c r="O120" s="554">
        <f>16000*0.8</f>
        <v/>
      </c>
      <c r="P120" s="554" t="n">
        <v>16000</v>
      </c>
      <c r="Q120" s="532" t="n">
        <v>0</v>
      </c>
      <c r="R120" s="532" t="n">
        <v>0</v>
      </c>
      <c r="S120" s="532" t="n">
        <v>0</v>
      </c>
      <c r="T120" s="206" t="inlineStr">
        <is>
          <t>第一次合同：3年
2024/1/6-2027/1/5</t>
        </is>
      </c>
      <c r="U120" s="197" t="inlineStr">
        <is>
          <t>6个月</t>
        </is>
      </c>
      <c r="V120" s="549" t="inlineStr">
        <is>
          <t>物联网应用技术</t>
        </is>
      </c>
      <c r="W120" s="206" t="inlineStr">
        <is>
          <t>2014年9月
2017年6月</t>
        </is>
      </c>
      <c r="X120" s="549" t="inlineStr">
        <is>
          <t>大专</t>
        </is>
      </c>
      <c r="Y120" s="549" t="inlineStr">
        <is>
          <t>byebyr@163.com</t>
        </is>
      </c>
      <c r="Z120" s="549" t="inlineStr">
        <is>
          <t>浙江省杭州市滨江区西兴街道西兴路1190号湘云雅苑24幢</t>
        </is>
      </c>
      <c r="AA120" s="550" t="inlineStr">
        <is>
          <t>杨驰
17861098300
浙江省杭州市滨江区西兴街道西兴路1190号湘云雅苑24幢</t>
        </is>
      </c>
      <c r="AB120" s="197" t="n">
        <v>17861098300</v>
      </c>
      <c r="AC120" s="556" t="inlineStr">
        <is>
          <t>370481199901015619</t>
        </is>
      </c>
      <c r="AD120" s="556" t="inlineStr">
        <is>
          <t>6217002340042099871</t>
        </is>
      </c>
      <c r="AE120" s="197" t="inlineStr">
        <is>
          <t>中国建设银行</t>
        </is>
      </c>
      <c r="AF120" s="549" t="n"/>
      <c r="AG120" s="197" t="inlineStr">
        <is>
          <t>否</t>
        </is>
      </c>
      <c r="AH120" s="552" t="inlineStr">
        <is>
          <t>离职啦</t>
        </is>
      </c>
      <c r="AI120" s="82">
        <f>DATEDIF(--TEXT(MID(AC120,7,8),"0-00-00"),TODAY(),"y")</f>
        <v/>
      </c>
      <c r="AJ120" s="548">
        <f>TEXT(MID(AC120,7,8),"0000-00-00")</f>
        <v/>
      </c>
      <c r="AK120" s="95">
        <f>CHOOSE(MONTH(AJ120),1,1,1,2,2,2,3,3,3,4,4,4)</f>
        <v/>
      </c>
    </row>
    <row r="121" customFormat="1" s="549">
      <c r="A121" s="197" t="n">
        <v>119</v>
      </c>
      <c r="B121" s="550" t="inlineStr">
        <is>
          <t>李家振
（2025/3/19 已离职）</t>
        </is>
      </c>
      <c r="C121" s="550" t="inlineStr">
        <is>
          <t>/</t>
        </is>
      </c>
      <c r="D121" s="549" t="inlineStr">
        <is>
          <t>男</t>
        </is>
      </c>
      <c r="E121" s="197" t="n">
        <v>17500</v>
      </c>
      <c r="F121" s="550" t="inlineStr">
        <is>
          <t xml:space="preserve">3-4个月短期
试用期转正都是工资17500元不打折
</t>
        </is>
      </c>
      <c r="G121" s="550" t="inlineStr">
        <is>
          <t xml:space="preserve">材料齐全，已回寄员工，缺体检报告
被辞退的，释放时间3.19号
项目上是2025/3/19 lastday
文石和员工也是3月19日无赔偿
文石TS结算时间3.31号
</t>
        </is>
      </c>
      <c r="H121" s="549" t="inlineStr">
        <is>
          <t>QNX测试工程师</t>
        </is>
      </c>
      <c r="I121" s="551" t="n">
        <v>45665</v>
      </c>
      <c r="J121" s="552" t="inlineStr">
        <is>
          <t>被辞退的，
项目上是2025/3/19 lastday
文石和员工也是3月19日无赔偿
文石TS结算时间3.31号</t>
        </is>
      </c>
      <c r="K121" s="533" t="inlineStr">
        <is>
          <t>无试用期</t>
        </is>
      </c>
      <c r="L121" s="553" t="n">
        <v>45658</v>
      </c>
      <c r="M121" s="549" t="inlineStr">
        <is>
          <t>北京</t>
        </is>
      </c>
      <c r="N121" s="549" t="inlineStr">
        <is>
          <t>北京</t>
        </is>
      </c>
      <c r="O121" s="554" t="n">
        <v>17500</v>
      </c>
      <c r="P121" s="554" t="n">
        <v>17500</v>
      </c>
      <c r="Q121" s="532" t="n">
        <v>0</v>
      </c>
      <c r="R121" s="532" t="n">
        <v>0</v>
      </c>
      <c r="S121" s="532" t="n">
        <v>0</v>
      </c>
      <c r="T121" s="550" t="inlineStr">
        <is>
          <t>第一次合同：短期3-4个月
2025/1/8-2025/5/7</t>
        </is>
      </c>
      <c r="U121" s="197" t="inlineStr">
        <is>
          <t>无试用期</t>
        </is>
      </c>
      <c r="V121" s="549" t="inlineStr">
        <is>
          <t>电子信息工程</t>
        </is>
      </c>
      <c r="W121" s="206" t="inlineStr">
        <is>
          <t>2017年9月
2021年6月</t>
        </is>
      </c>
      <c r="X121" s="549" t="inlineStr">
        <is>
          <t>本科</t>
        </is>
      </c>
      <c r="Y121" s="557" t="inlineStr">
        <is>
          <t>2930373702@qq.com</t>
        </is>
      </c>
      <c r="Z121" s="549" t="inlineStr">
        <is>
          <t>甘肃省秦安县兴丰镇阳坡村窑湾3号</t>
        </is>
      </c>
      <c r="AA121" s="549" t="inlineStr">
        <is>
          <t>李家振 手机号：17793479075北京市门头沟区石门营新6区16号楼一单元203</t>
        </is>
      </c>
      <c r="AB121" s="197" t="n">
        <v>17793479075</v>
      </c>
      <c r="AC121" s="556" t="inlineStr">
        <is>
          <t>620522199805110971</t>
        </is>
      </c>
      <c r="AD121" s="556" t="inlineStr">
        <is>
          <t>6217000010172053525</t>
        </is>
      </c>
      <c r="AE121" s="197" t="inlineStr">
        <is>
          <t>中国建设银行</t>
        </is>
      </c>
      <c r="AF121" s="549" t="n"/>
      <c r="AG121" s="197" t="inlineStr">
        <is>
          <t>否</t>
        </is>
      </c>
      <c r="AH121" s="552" t="inlineStr">
        <is>
          <t>离职啦</t>
        </is>
      </c>
      <c r="AI121" s="82">
        <f>DATEDIF(--TEXT(MID(AC121,7,8),"0-00-00"),TODAY(),"y")</f>
        <v/>
      </c>
      <c r="AJ121" s="548">
        <f>TEXT(MID(AC121,7,8),"0000-00-00")</f>
        <v/>
      </c>
      <c r="AK121" s="95">
        <f>CHOOSE(MONTH(AJ121),1,1,1,2,2,2,3,3,3,4,4,4)</f>
        <v/>
      </c>
    </row>
    <row r="122" s="558">
      <c r="A122" s="82" t="n">
        <v>51</v>
      </c>
      <c r="B122" s="532" t="inlineStr">
        <is>
          <t>孙颖硕</t>
        </is>
      </c>
      <c r="C122" s="218" t="inlineStr">
        <is>
          <t>北京文石</t>
        </is>
      </c>
      <c r="D122" s="532" t="inlineStr">
        <is>
          <t>男</t>
        </is>
      </c>
      <c r="E122" s="82" t="n">
        <v>12000</v>
      </c>
      <c r="F122" s="541" t="inlineStr">
        <is>
          <t>一年合同，2个月试用期，
工资9600/12000</t>
        </is>
      </c>
      <c r="G122" s="541" t="inlineStr">
        <is>
          <t>材料齐全
已回寄员工
实际一年释放</t>
        </is>
      </c>
      <c r="H122" s="82" t="inlineStr">
        <is>
          <t>智能驾驶整车改装工程师</t>
        </is>
      </c>
      <c r="I122" s="533" t="n">
        <v>45665</v>
      </c>
      <c r="J122" s="533" t="inlineStr">
        <is>
          <t>/</t>
        </is>
      </c>
      <c r="K122" s="533" t="n">
        <v>45723</v>
      </c>
      <c r="L122" s="534" t="n">
        <v>45658</v>
      </c>
      <c r="M122" s="532" t="inlineStr">
        <is>
          <t>北京</t>
        </is>
      </c>
      <c r="N122" s="532" t="inlineStr">
        <is>
          <t>北京</t>
        </is>
      </c>
      <c r="O122" s="532" t="n">
        <v>9600</v>
      </c>
      <c r="P122" s="532" t="n">
        <v>12000</v>
      </c>
      <c r="Q122" s="532" t="n">
        <v>0</v>
      </c>
      <c r="R122" s="532" t="n">
        <v>0</v>
      </c>
      <c r="S122" s="532" t="n">
        <v>0</v>
      </c>
      <c r="T122" s="218" t="inlineStr">
        <is>
          <t>第一次合同：1年
2025/1/8-2026/1/7</t>
        </is>
      </c>
      <c r="U122" s="82" t="inlineStr">
        <is>
          <t>2个月</t>
        </is>
      </c>
      <c r="V122" s="532" t="inlineStr">
        <is>
          <t>网络教育</t>
        </is>
      </c>
      <c r="W122" s="218" t="inlineStr">
        <is>
          <t>2022年3月
2024年7月</t>
        </is>
      </c>
      <c r="X122" s="532" t="inlineStr">
        <is>
          <t>专科起点本科</t>
        </is>
      </c>
      <c r="Y122" s="545" t="inlineStr">
        <is>
          <t>1123020772@qq.com</t>
        </is>
      </c>
      <c r="Z122" s="532" t="inlineStr">
        <is>
          <t>北京市顺义区北小营镇上辇村向阳路一巷16号</t>
        </is>
      </c>
      <c r="AA122" s="541" t="inlineStr">
        <is>
          <t>北京市顺义区北小营镇上辇村
孙颖硕
15010014099</t>
        </is>
      </c>
      <c r="AB122" s="82" t="n">
        <v>15010014099</v>
      </c>
      <c r="AC122" s="546" t="inlineStr">
        <is>
          <t>110222199411243812</t>
        </is>
      </c>
      <c r="AD122" s="546" t="inlineStr">
        <is>
          <t>6215340300007328652</t>
        </is>
      </c>
      <c r="AE122" s="82" t="inlineStr">
        <is>
          <t>中国建设银行</t>
        </is>
      </c>
      <c r="AG122" s="532" t="inlineStr">
        <is>
          <t>是</t>
        </is>
      </c>
      <c r="AH122" s="547" t="inlineStr">
        <is>
          <t>第一次合同：南京文石转签北京文石-1年：2025/1/8-2026/1/7
实际一年后释放，员工不知道
第二次合同：北京文石-3年-2026.1.8-2029.1.7</t>
        </is>
      </c>
      <c r="AI122" s="82">
        <f>DATEDIF(--TEXT(MID(AC122,7,8),"0-00-00"),TODAY(),"y")</f>
        <v/>
      </c>
      <c r="AJ122" s="548">
        <f>TEXT(MID(AC122,7,8),"0000-00-00")</f>
        <v/>
      </c>
      <c r="AK122" s="95">
        <f>CHOOSE(MONTH(AJ122),1,1,1,2,2,2,3,3,3,4,4,4)</f>
        <v/>
      </c>
    </row>
    <row r="123" s="558">
      <c r="A123" s="82" t="n">
        <v>52</v>
      </c>
      <c r="B123" s="541" t="inlineStr">
        <is>
          <t>黄继宝</t>
        </is>
      </c>
      <c r="C123" s="541" t="inlineStr">
        <is>
          <t>上海文石</t>
        </is>
      </c>
      <c r="D123" s="532" t="inlineStr">
        <is>
          <t>男</t>
        </is>
      </c>
      <c r="E123" s="82" t="n">
        <v>13000</v>
      </c>
      <c r="F123" s="218" t="inlineStr">
        <is>
          <t>工资10400/13k，
签订三年合同，试用期6个月，前3个月打8折。无其他补贴，无其他费用</t>
        </is>
      </c>
      <c r="G123" s="541" t="inlineStr">
        <is>
          <t>材料齐全
已回寄员工</t>
        </is>
      </c>
      <c r="H123" s="532" t="inlineStr">
        <is>
          <t>自动驾驶集成测试工程师</t>
        </is>
      </c>
      <c r="I123" s="533" t="n">
        <v>45670</v>
      </c>
      <c r="J123" s="533" t="inlineStr">
        <is>
          <t>/</t>
        </is>
      </c>
      <c r="K123" s="533" t="n">
        <v>45850</v>
      </c>
      <c r="L123" s="534" t="n">
        <v>45659</v>
      </c>
      <c r="M123" s="82" t="inlineStr">
        <is>
          <t>上海</t>
        </is>
      </c>
      <c r="N123" s="82" t="inlineStr">
        <is>
          <t>上海</t>
        </is>
      </c>
      <c r="O123" s="532" t="n">
        <v>10400</v>
      </c>
      <c r="P123" s="532" t="n">
        <v>13000</v>
      </c>
      <c r="Q123" s="532" t="n">
        <v>0</v>
      </c>
      <c r="R123" s="532" t="n">
        <v>0</v>
      </c>
      <c r="S123" s="532" t="n">
        <v>0</v>
      </c>
      <c r="T123" s="218" t="inlineStr">
        <is>
          <t>第一次合同：3年
2025/1/13-2028/1/12</t>
        </is>
      </c>
      <c r="U123" s="82" t="inlineStr">
        <is>
          <t>6个月</t>
        </is>
      </c>
      <c r="V123" s="532" t="inlineStr">
        <is>
          <t>（自考）人力资源管理</t>
        </is>
      </c>
      <c r="W123" s="226" t="n">
        <v>45444</v>
      </c>
      <c r="X123" s="532" t="inlineStr">
        <is>
          <t>本科</t>
        </is>
      </c>
      <c r="Y123" s="532" t="inlineStr">
        <is>
          <t>1335253748@qq.com</t>
        </is>
      </c>
      <c r="Z123" s="532" t="inlineStr">
        <is>
          <t>江苏省灌云县下车镇黄荡村后黄荡71号</t>
        </is>
      </c>
      <c r="AA123" s="541" t="inlineStr">
        <is>
          <t>收货人：黄继宝
手机号：13776594440
所在地区：上海嘉定区
详细地址：安研路67弄安亭瑞仕锦庭2号103室</t>
        </is>
      </c>
      <c r="AB123" s="82" t="n">
        <v>13776594440</v>
      </c>
      <c r="AC123" s="546" t="inlineStr">
        <is>
          <t>320723199801104052</t>
        </is>
      </c>
      <c r="AD123" s="546" t="inlineStr">
        <is>
          <t>6215340302615880710</t>
        </is>
      </c>
      <c r="AE123" s="82" t="inlineStr">
        <is>
          <t>中国建设银行</t>
        </is>
      </c>
      <c r="AG123" s="532" t="inlineStr">
        <is>
          <t>是</t>
        </is>
      </c>
      <c r="AH123" s="547" t="inlineStr">
        <is>
          <t>第一次合同：3年：2025/1/13-2028/1/12</t>
        </is>
      </c>
      <c r="AI123" s="82">
        <f>DATEDIF(--TEXT(MID(AC123,7,8),"0-00-00"),TODAY(),"y")</f>
        <v/>
      </c>
      <c r="AJ123" s="548">
        <f>TEXT(MID(AC123,7,8),"0000-00-00")</f>
        <v/>
      </c>
      <c r="AK123" s="95">
        <f>CHOOSE(MONTH(AJ123),1,1,1,2,2,2,3,3,3,4,4,4)</f>
        <v/>
      </c>
    </row>
    <row r="124" customFormat="1" s="549">
      <c r="A124" s="197" t="n">
        <v>63</v>
      </c>
      <c r="B124" s="550" t="inlineStr">
        <is>
          <t>蔡亚茹
(2025.7.8已离职)</t>
        </is>
      </c>
      <c r="C124" s="550" t="inlineStr">
        <is>
          <t>/</t>
        </is>
      </c>
      <c r="D124" s="197" t="inlineStr">
        <is>
          <t>女</t>
        </is>
      </c>
      <c r="E124" s="197" t="n">
        <v>9500</v>
      </c>
      <c r="F124" s="206" t="inlineStr">
        <is>
          <t>工资7600/9500，签订三年合同，试用期6个月，前3个月打8折。无其他补贴，无其他费用</t>
        </is>
      </c>
      <c r="G124" s="550" t="inlineStr">
        <is>
          <t>材料齐全
已回寄员工
主动离职 lastday2025.7.8</t>
        </is>
      </c>
      <c r="H124" s="549" t="inlineStr">
        <is>
          <t>数据验收员</t>
        </is>
      </c>
      <c r="I124" s="551" t="n">
        <v>45672</v>
      </c>
      <c r="J124" s="551" t="inlineStr">
        <is>
          <t>2025.7.8 lastday家里有事自己要离职的</t>
        </is>
      </c>
      <c r="K124" s="533" t="n">
        <v>45852</v>
      </c>
      <c r="L124" s="553" t="n">
        <v>45660</v>
      </c>
      <c r="M124" s="549" t="inlineStr">
        <is>
          <t>北京</t>
        </is>
      </c>
      <c r="N124" s="549" t="inlineStr">
        <is>
          <t>北京</t>
        </is>
      </c>
      <c r="O124" s="554" t="n">
        <v>7600</v>
      </c>
      <c r="P124" s="554" t="n">
        <v>9500</v>
      </c>
      <c r="Q124" s="532" t="n">
        <v>0</v>
      </c>
      <c r="R124" s="532" t="n">
        <v>0</v>
      </c>
      <c r="S124" s="532" t="n">
        <v>0</v>
      </c>
      <c r="T124" s="550" t="inlineStr">
        <is>
          <t>第一次合同：3年
2025/1/15-2028/1/14</t>
        </is>
      </c>
      <c r="U124" s="197" t="inlineStr">
        <is>
          <t>6个月</t>
        </is>
      </c>
      <c r="V124" s="549" t="inlineStr">
        <is>
          <t>教育学</t>
        </is>
      </c>
      <c r="W124" s="552" t="inlineStr">
        <is>
          <t>2020年9月
2024年6月</t>
        </is>
      </c>
      <c r="X124" s="549" t="inlineStr">
        <is>
          <t>专升本</t>
        </is>
      </c>
      <c r="Y124" s="549" t="inlineStr">
        <is>
          <t>1137609558@qq.com</t>
        </is>
      </c>
      <c r="Z124" s="549" t="inlineStr">
        <is>
          <t>河南省兰考县南彰镇前城村3组</t>
        </is>
      </c>
      <c r="AA124" s="549" t="inlineStr">
        <is>
          <t>蔡亚茹 15515424308，北京市昌平区天通中苑54号楼3单元601</t>
        </is>
      </c>
      <c r="AB124" s="197" t="n">
        <v>15515424308</v>
      </c>
      <c r="AC124" s="556" t="inlineStr">
        <is>
          <t>410225199809124100</t>
        </is>
      </c>
      <c r="AD124" s="556" t="inlineStr">
        <is>
          <t>6215340300007329742</t>
        </is>
      </c>
      <c r="AE124" s="197" t="inlineStr">
        <is>
          <t>中国建设银行</t>
        </is>
      </c>
      <c r="AF124" s="549" t="n"/>
      <c r="AG124" s="197" t="inlineStr">
        <is>
          <t>否</t>
        </is>
      </c>
      <c r="AH124" s="551" t="inlineStr">
        <is>
          <t>离职啦</t>
        </is>
      </c>
      <c r="AI124" s="82">
        <f>DATEDIF(--TEXT(MID(AC124,7,8),"0-00-00"),TODAY(),"y")</f>
        <v/>
      </c>
      <c r="AJ124" s="548">
        <f>TEXT(MID(AC124,7,8),"0000-00-00")</f>
        <v/>
      </c>
      <c r="AK124" s="95">
        <f>CHOOSE(MONTH(AJ124),1,1,1,2,2,2,3,3,3,4,4,4)</f>
        <v/>
      </c>
    </row>
    <row r="125" customFormat="1" s="82">
      <c r="A125" s="82" t="n">
        <v>53</v>
      </c>
      <c r="B125" s="82" t="inlineStr">
        <is>
          <t>乔瑞霞</t>
        </is>
      </c>
      <c r="C125" s="218" t="inlineStr">
        <is>
          <t>北京文石</t>
        </is>
      </c>
      <c r="D125" s="82" t="inlineStr">
        <is>
          <t>女</t>
        </is>
      </c>
      <c r="E125" s="82" t="n">
        <v>14500</v>
      </c>
      <c r="F125" s="218" t="inlineStr">
        <is>
          <t>工资：11.6K/14.5K
签三年合同 试用期6个月 前3个月打八折
没有其他别的补贴</t>
        </is>
      </c>
      <c r="G125" s="541" t="inlineStr">
        <is>
          <t>材料齐全
已回寄员工</t>
        </is>
      </c>
      <c r="H125" s="82" t="inlineStr">
        <is>
          <t>自动驾驶集成开发工程师</t>
        </is>
      </c>
      <c r="I125" s="533" t="n">
        <v>45677</v>
      </c>
      <c r="J125" s="533" t="inlineStr">
        <is>
          <t>/</t>
        </is>
      </c>
      <c r="K125" s="533" t="n">
        <v>45857</v>
      </c>
      <c r="L125" s="534" t="n">
        <v>45691</v>
      </c>
      <c r="M125" s="82" t="inlineStr">
        <is>
          <t>北京</t>
        </is>
      </c>
      <c r="N125" s="82" t="inlineStr">
        <is>
          <t>北京</t>
        </is>
      </c>
      <c r="O125" s="82" t="inlineStr">
        <is>
          <t>11.6K</t>
        </is>
      </c>
      <c r="P125" s="82" t="inlineStr">
        <is>
          <t>14.5K</t>
        </is>
      </c>
      <c r="Q125" s="532" t="n">
        <v>0</v>
      </c>
      <c r="R125" s="532" t="n">
        <v>0</v>
      </c>
      <c r="S125" s="532" t="n">
        <v>0</v>
      </c>
      <c r="T125" s="218" t="inlineStr">
        <is>
          <t>第一次合同：3年
2025/1/20-2028/1/19</t>
        </is>
      </c>
      <c r="U125" s="82" t="inlineStr">
        <is>
          <t>6个月</t>
        </is>
      </c>
      <c r="V125" s="82" t="inlineStr">
        <is>
          <t>计算机科学与技术</t>
        </is>
      </c>
      <c r="W125" s="82" t="inlineStr">
        <is>
          <t>2014年06</t>
        </is>
      </c>
      <c r="X125" s="82" t="inlineStr">
        <is>
          <t>本科</t>
        </is>
      </c>
      <c r="Y125" s="82" t="inlineStr">
        <is>
          <t>qiaoruixia115@163.com</t>
        </is>
      </c>
      <c r="Z125" s="82" t="inlineStr">
        <is>
          <t>河北省涿州市润禾街41号365户22栋2单元801室</t>
        </is>
      </c>
      <c r="AA125" s="218" t="inlineStr">
        <is>
          <t>乔瑞霞
17710062565
北京市北京市海淀区中关村集成电路设计园2A楼地平线</t>
        </is>
      </c>
      <c r="AB125" s="82" t="inlineStr">
        <is>
          <t>‘17710062565</t>
        </is>
      </c>
      <c r="AC125" s="494" t="inlineStr">
        <is>
          <t>152634199108151823</t>
        </is>
      </c>
      <c r="AD125" s="494" t="inlineStr">
        <is>
          <t>6217000010200839291</t>
        </is>
      </c>
      <c r="AE125" s="82" t="inlineStr">
        <is>
          <t>中国建设银行</t>
        </is>
      </c>
      <c r="AF125" s="82" t="n"/>
      <c r="AG125" s="82" t="inlineStr">
        <is>
          <t>是</t>
        </is>
      </c>
      <c r="AH125" s="547" t="inlineStr">
        <is>
          <t>第一次合同：3年：2025/1/20-2028/1/19</t>
        </is>
      </c>
      <c r="AI125" s="82">
        <f>DATEDIF(--TEXT(MID(AC125,7,8),"0-00-00"),TODAY(),"y")</f>
        <v/>
      </c>
      <c r="AJ125" s="548">
        <f>TEXT(MID(AC125,7,8),"0000-00-00")</f>
        <v/>
      </c>
      <c r="AK125" s="95">
        <f>CHOOSE(MONTH(AJ125),1,1,1,2,2,2,3,3,3,4,4,4)</f>
        <v/>
      </c>
    </row>
    <row r="126" customFormat="1" s="549">
      <c r="A126" s="197" t="n">
        <v>54</v>
      </c>
      <c r="B126" s="550" t="inlineStr">
        <is>
          <t>滕福林
（2026/2/4日lastday）</t>
        </is>
      </c>
      <c r="C126" s="550" t="inlineStr">
        <is>
          <t>南京文石</t>
        </is>
      </c>
      <c r="D126" s="197" t="inlineStr">
        <is>
          <t>男</t>
        </is>
      </c>
      <c r="E126" s="197" t="n">
        <v>24000</v>
      </c>
      <c r="F126" s="206" t="inlineStr">
        <is>
          <t>工资24k，签订三年合同，试用期6个月，前3个月8折。无其他补贴，无其他费用</t>
        </is>
      </c>
      <c r="G126" s="206" t="inlineStr">
        <is>
          <t>材料齐全
已回寄员工
考勤一切正常（漏打卡的已补卡）【2.5发放12.25-1.24薪资，3.5发放1.25-2.4薪资】
无调休，无其他报销</t>
        </is>
      </c>
      <c r="H126" s="197" t="inlineStr">
        <is>
          <t>后端开发工程师</t>
        </is>
      </c>
      <c r="I126" s="551" t="n">
        <v>45677</v>
      </c>
      <c r="J126" s="551" t="n">
        <v>46057</v>
      </c>
      <c r="K126" s="533" t="n">
        <v>45857</v>
      </c>
      <c r="L126" s="553" t="n">
        <v>45691</v>
      </c>
      <c r="M126" s="197" t="inlineStr">
        <is>
          <t>南京</t>
        </is>
      </c>
      <c r="N126" s="197" t="inlineStr">
        <is>
          <t>南京</t>
        </is>
      </c>
      <c r="O126" s="230" t="n">
        <v>19200</v>
      </c>
      <c r="P126" s="230" t="n">
        <v>24000</v>
      </c>
      <c r="Q126" s="532" t="n">
        <v>0</v>
      </c>
      <c r="R126" s="532" t="n">
        <v>0</v>
      </c>
      <c r="S126" s="532" t="n">
        <v>0</v>
      </c>
      <c r="T126" s="549" t="inlineStr">
        <is>
          <t>第一次合同：3年
2025/1/20-2028/1/29</t>
        </is>
      </c>
      <c r="U126" s="549" t="inlineStr">
        <is>
          <t>6个月</t>
        </is>
      </c>
      <c r="V126" s="549" t="inlineStr">
        <is>
          <t>计算机控制技术</t>
        </is>
      </c>
      <c r="W126" s="551" t="inlineStr">
        <is>
          <t>2017年06</t>
        </is>
      </c>
      <c r="X126" s="549" t="inlineStr">
        <is>
          <t>大专</t>
        </is>
      </c>
      <c r="Y126" s="197" t="inlineStr">
        <is>
          <t>vogo0410@126.com</t>
        </is>
      </c>
      <c r="Z126" s="197" t="inlineStr">
        <is>
          <t>南京市江宁区双龙大道833号南方花园枫彩园22幢110室</t>
        </is>
      </c>
      <c r="AA126" s="197" t="inlineStr">
        <is>
          <t>滕福林
13851452550
江苏省南京市江宁区南方花园枫彩园22幢二单元110室</t>
        </is>
      </c>
      <c r="AB126" s="197" t="inlineStr">
        <is>
          <t>，13851452550</t>
        </is>
      </c>
      <c r="AC126" s="491" t="inlineStr">
        <is>
          <t>342626199604104714</t>
        </is>
      </c>
      <c r="AD126" s="556" t="inlineStr">
        <is>
          <t>6215340302638177037</t>
        </is>
      </c>
      <c r="AE126" s="197" t="inlineStr">
        <is>
          <t>中国建设银行</t>
        </is>
      </c>
      <c r="AF126" s="549" t="n"/>
      <c r="AG126" s="549" t="inlineStr">
        <is>
          <t>是</t>
        </is>
      </c>
      <c r="AH126" s="551" t="inlineStr">
        <is>
          <t>第一次合同：3年：2025/1/20-2028/1/29</t>
        </is>
      </c>
      <c r="AI126" s="82">
        <f>DATEDIF(--TEXT(MID(AC126,7,8),"0-00-00"),TODAY(),"y")</f>
        <v/>
      </c>
      <c r="AJ126" s="548">
        <f>TEXT(MID(AC126,7,8),"0000-00-00")</f>
        <v/>
      </c>
      <c r="AK126" s="95">
        <f>CHOOSE(MONTH(AJ126),1,1,1,2,2,2,3,3,3,4,4,4)</f>
        <v/>
      </c>
    </row>
    <row r="127" customFormat="1" s="532">
      <c r="A127" s="82" t="n">
        <v>55</v>
      </c>
      <c r="B127" s="532" t="inlineStr">
        <is>
          <t>黄国庆</t>
        </is>
      </c>
      <c r="C127" s="218" t="inlineStr">
        <is>
          <t>北京文石</t>
        </is>
      </c>
      <c r="D127" s="82" t="inlineStr">
        <is>
          <t>男</t>
        </is>
      </c>
      <c r="E127" s="82">
        <f>17000+1500</f>
        <v/>
      </c>
      <c r="F127" s="218" t="inlineStr">
        <is>
          <t>工资：13.6K/17K，签三年合同  试用期6个月 前3个月打八折，到岗时间：2025年01月22日，无其他别的补贴
黄国庆自2026年5月起涨薪1500元，目前薪资17000+1500=18500</t>
        </is>
      </c>
      <c r="G127" s="541" t="inlineStr">
        <is>
          <t>材料齐全
已回寄员工</t>
        </is>
      </c>
      <c r="H127" s="82" t="inlineStr">
        <is>
          <t>自动驾驶集成测试工程师</t>
        </is>
      </c>
      <c r="I127" s="533" t="n">
        <v>45679</v>
      </c>
      <c r="J127" s="533" t="inlineStr">
        <is>
          <t>/</t>
        </is>
      </c>
      <c r="K127" s="533" t="n">
        <v>45859</v>
      </c>
      <c r="L127" s="534" t="n">
        <v>45691</v>
      </c>
      <c r="M127" s="82" t="inlineStr">
        <is>
          <t>北京</t>
        </is>
      </c>
      <c r="N127" s="82" t="inlineStr">
        <is>
          <t>北京</t>
        </is>
      </c>
      <c r="O127" s="82" t="inlineStr">
        <is>
          <t>13.6K</t>
        </is>
      </c>
      <c r="P127" s="82" t="inlineStr">
        <is>
          <t>17K</t>
        </is>
      </c>
      <c r="Q127" s="532" t="n">
        <v>0</v>
      </c>
      <c r="R127" s="532" t="n">
        <v>0</v>
      </c>
      <c r="S127" s="532" t="n">
        <v>0</v>
      </c>
      <c r="T127" s="218" t="inlineStr">
        <is>
          <t>第一次合同：3年
2025/1/22-2028/1/21</t>
        </is>
      </c>
      <c r="U127" s="82" t="inlineStr">
        <is>
          <t>6个月</t>
        </is>
      </c>
      <c r="V127" s="218" t="inlineStr">
        <is>
          <t>软件与信息服务
计算机科学与技术</t>
        </is>
      </c>
      <c r="W127" s="218" t="inlineStr">
        <is>
          <t>2020年06
2023年06</t>
        </is>
      </c>
      <c r="X127" s="218" t="inlineStr">
        <is>
          <t>大专
本科（非全日制）</t>
        </is>
      </c>
      <c r="Y127" s="238" t="inlineStr">
        <is>
          <t>h18336639656@163.com</t>
        </is>
      </c>
      <c r="Z127" s="82" t="inlineStr">
        <is>
          <t>河南省桐柏县平氏镇杨庄村后黄庄16号</t>
        </is>
      </c>
      <c r="AA127" s="218" t="inlineStr">
        <is>
          <t>黄国庆
18336639656
北京市大兴区青云店镇北率屯西路9号院</t>
        </is>
      </c>
      <c r="AB127" s="82" t="inlineStr">
        <is>
          <t>‘18336639656</t>
        </is>
      </c>
      <c r="AC127" s="494" t="inlineStr">
        <is>
          <t>411321200005160911</t>
        </is>
      </c>
      <c r="AD127" s="494" t="inlineStr">
        <is>
          <t>6215340301447980250</t>
        </is>
      </c>
      <c r="AE127" s="82" t="inlineStr">
        <is>
          <t>中国建设银行</t>
        </is>
      </c>
      <c r="AF127" s="532" t="n"/>
      <c r="AG127" s="532" t="inlineStr">
        <is>
          <t>是</t>
        </is>
      </c>
      <c r="AH127" s="547" t="inlineStr">
        <is>
          <t>第一次合同：3年：2025/1/22-2028/1/21</t>
        </is>
      </c>
      <c r="AI127" s="82">
        <f>DATEDIF(--TEXT(MID(AC127,7,8),"0-00-00"),TODAY(),"y")</f>
        <v/>
      </c>
      <c r="AJ127" s="548">
        <f>TEXT(MID(AC127,7,8),"0000-00-00")</f>
        <v/>
      </c>
      <c r="AK127" s="95">
        <f>CHOOSE(MONTH(AJ127),1,1,1,2,2,2,3,3,3,4,4,4)</f>
        <v/>
      </c>
    </row>
    <row r="128" customFormat="1" s="532">
      <c r="A128" s="82" t="n">
        <v>56</v>
      </c>
      <c r="B128" s="532" t="inlineStr">
        <is>
          <t>徐海杰</t>
        </is>
      </c>
      <c r="C128" s="532" t="inlineStr">
        <is>
          <t>南京文石</t>
        </is>
      </c>
      <c r="D128" s="82" t="inlineStr">
        <is>
          <t>男</t>
        </is>
      </c>
      <c r="E128" s="82">
        <f>16000+600</f>
        <v/>
      </c>
      <c r="F128" s="218" t="inlineStr">
        <is>
          <t>工资16k，签订三年合同，试用期6个月，前3个月8折。无其他补贴，无其他费用。
徐海杰自2026年5月起涨薪600元，目前薪资16000+600=16600</t>
        </is>
      </c>
      <c r="G128" s="541" t="inlineStr">
        <is>
          <t>材料齐全
已回寄员工</t>
        </is>
      </c>
      <c r="H128" s="82" t="inlineStr">
        <is>
          <t>后端开发工程师</t>
        </is>
      </c>
      <c r="I128" s="533" t="n">
        <v>45698</v>
      </c>
      <c r="J128" s="533" t="inlineStr">
        <is>
          <t>/</t>
        </is>
      </c>
      <c r="K128" s="533" t="n">
        <v>45513</v>
      </c>
      <c r="L128" s="534" t="n">
        <v>45691</v>
      </c>
      <c r="M128" s="82" t="inlineStr">
        <is>
          <t>南京</t>
        </is>
      </c>
      <c r="N128" s="82" t="inlineStr">
        <is>
          <t>南京</t>
        </is>
      </c>
      <c r="O128" s="82" t="n">
        <v>12800</v>
      </c>
      <c r="P128" s="82" t="n">
        <v>16000</v>
      </c>
      <c r="Q128" s="532" t="n">
        <v>0</v>
      </c>
      <c r="R128" s="532" t="n">
        <v>0</v>
      </c>
      <c r="S128" s="532" t="n">
        <v>0</v>
      </c>
      <c r="T128" s="541" t="inlineStr">
        <is>
          <t>第一次合同：3年
2025/2/10-2028/2/9</t>
        </is>
      </c>
      <c r="U128" s="82" t="inlineStr">
        <is>
          <t>6个月</t>
        </is>
      </c>
      <c r="V128" s="532" t="inlineStr">
        <is>
          <t>广告学</t>
        </is>
      </c>
      <c r="W128" s="547" t="inlineStr">
        <is>
          <t>2016年09-
2020年06</t>
        </is>
      </c>
      <c r="X128" s="532" t="inlineStr">
        <is>
          <t>本科</t>
        </is>
      </c>
      <c r="Y128" s="82" t="inlineStr">
        <is>
          <t>1349852254@qq.com</t>
        </is>
      </c>
      <c r="Z128" s="532" t="inlineStr">
        <is>
          <t>南京市栖霞区营房村营东队31-1号</t>
        </is>
      </c>
      <c r="AA128" s="541" t="inlineStr">
        <is>
          <t>徐海杰
18851170596
江苏省南京市栖霞区凤悦北园7栋2402</t>
        </is>
      </c>
      <c r="AB128" s="82" t="inlineStr">
        <is>
          <t>，18851170596</t>
        </is>
      </c>
      <c r="AC128" s="494" t="inlineStr">
        <is>
          <t>320113199712196017</t>
        </is>
      </c>
      <c r="AD128" s="546" t="inlineStr">
        <is>
          <t>6236681370004328313</t>
        </is>
      </c>
      <c r="AE128" s="82" t="inlineStr">
        <is>
          <t>中国建设银行</t>
        </is>
      </c>
      <c r="AF128" s="532" t="n"/>
      <c r="AG128" s="532" t="inlineStr">
        <is>
          <t>是</t>
        </is>
      </c>
      <c r="AH128" s="240" t="inlineStr">
        <is>
          <t>第一次合同：3年：2025/2/10-2028/2/9</t>
        </is>
      </c>
      <c r="AI128" s="82">
        <f>DATEDIF(--TEXT(MID(AC128,7,8),"0-00-00"),TODAY(),"y")</f>
        <v/>
      </c>
      <c r="AJ128" s="548">
        <f>TEXT(MID(AC128,7,8),"0000-00-00")</f>
        <v/>
      </c>
      <c r="AK128" s="95">
        <f>CHOOSE(MONTH(AJ128),1,1,1,2,2,2,3,3,3,4,4,4)</f>
        <v/>
      </c>
    </row>
    <row r="129" customFormat="1" s="532">
      <c r="A129" s="82" t="n">
        <v>57</v>
      </c>
      <c r="B129" s="532" t="inlineStr">
        <is>
          <t>王金涛</t>
        </is>
      </c>
      <c r="C129" s="532" t="inlineStr">
        <is>
          <t>今才</t>
        </is>
      </c>
      <c r="D129" s="82" t="inlineStr">
        <is>
          <t>男</t>
        </is>
      </c>
      <c r="E129" s="82">
        <f>15000+1000</f>
        <v/>
      </c>
      <c r="F129" s="218" t="inlineStr">
        <is>
          <t>工资15k，签订三年合同，试用期6个月，前3个月打8折。无其他补贴，无其他费用。
王金涛自2026年5月起涨薪1000元，目前薪资15000+1000=16000</t>
        </is>
      </c>
      <c r="G129" s="541" t="inlineStr">
        <is>
          <t>材料齐全
已回寄员工</t>
        </is>
      </c>
      <c r="H129" s="82" t="inlineStr">
        <is>
          <t>实车测试工程师</t>
        </is>
      </c>
      <c r="I129" s="533" t="n">
        <v>45698</v>
      </c>
      <c r="J129" s="533" t="inlineStr">
        <is>
          <t>/</t>
        </is>
      </c>
      <c r="K129" s="533" t="n">
        <v>45513</v>
      </c>
      <c r="L129" s="534" t="n">
        <v>45691</v>
      </c>
      <c r="M129" s="82" t="inlineStr">
        <is>
          <t>芜湖</t>
        </is>
      </c>
      <c r="N129" s="82" t="inlineStr">
        <is>
          <t>芜湖</t>
        </is>
      </c>
      <c r="O129" s="82" t="n">
        <v>12000</v>
      </c>
      <c r="P129" s="82" t="n">
        <v>15000</v>
      </c>
      <c r="Q129" s="532" t="n">
        <v>0</v>
      </c>
      <c r="R129" s="532" t="n">
        <v>0</v>
      </c>
      <c r="S129" s="532" t="n">
        <v>0</v>
      </c>
      <c r="T129" s="541" t="inlineStr">
        <is>
          <t>第一次合同：3年
2025/2/10-2028/2/9</t>
        </is>
      </c>
      <c r="U129" s="82" t="inlineStr">
        <is>
          <t>6个月</t>
        </is>
      </c>
      <c r="V129" s="532" t="inlineStr">
        <is>
          <t>工商管理</t>
        </is>
      </c>
      <c r="W129" s="547" t="inlineStr">
        <is>
          <t>2019年03-
2021年06</t>
        </is>
      </c>
      <c r="X129" s="532" t="inlineStr">
        <is>
          <t>专升本</t>
        </is>
      </c>
      <c r="Y129" s="82" t="inlineStr">
        <is>
          <t>18381867@qq.com</t>
        </is>
      </c>
      <c r="Z129" s="532" t="inlineStr">
        <is>
          <t>长春市二道区东盛街道和顺一条委17组</t>
        </is>
      </c>
      <c r="AA129" s="541" t="inlineStr">
        <is>
          <t>王金涛
13062727879
上海市上海市浦东新区张江镇上海张江汽车基地(法拉第路258弄6号楼)</t>
        </is>
      </c>
      <c r="AB129" s="82" t="inlineStr">
        <is>
          <t>，13062727879</t>
        </is>
      </c>
      <c r="AC129" s="494" t="inlineStr">
        <is>
          <t>220105199001212013</t>
        </is>
      </c>
      <c r="AD129" s="546" t="inlineStr">
        <is>
          <t>6217001210033509744</t>
        </is>
      </c>
      <c r="AE129" s="82" t="inlineStr">
        <is>
          <t>中国建设银行</t>
        </is>
      </c>
      <c r="AF129" s="532" t="n"/>
      <c r="AG129" s="532" t="inlineStr">
        <is>
          <t>是</t>
        </is>
      </c>
      <c r="AH129" s="240" t="inlineStr">
        <is>
          <t>第一次合同：3年：2025/2/10-2028/2/9</t>
        </is>
      </c>
      <c r="AI129" s="82">
        <f>DATEDIF(--TEXT(MID(AC129,7,8),"0-00-00"),TODAY(),"y")</f>
        <v/>
      </c>
      <c r="AJ129" s="548">
        <f>TEXT(MID(AC129,7,8),"0000-00-00")</f>
        <v/>
      </c>
      <c r="AK129" s="95">
        <f>CHOOSE(MONTH(AJ129),1,1,1,2,2,2,3,3,3,4,4,4)</f>
        <v/>
      </c>
    </row>
    <row r="130" s="558">
      <c r="A130" s="82" t="n">
        <v>58</v>
      </c>
      <c r="B130" s="541" t="inlineStr">
        <is>
          <t>孙滔
（大陆芯，挂靠）</t>
        </is>
      </c>
      <c r="C130" s="541" t="inlineStr">
        <is>
          <t>邦芒</t>
        </is>
      </c>
      <c r="D130" s="82" t="inlineStr">
        <is>
          <t>男</t>
        </is>
      </c>
      <c r="E130" s="82" t="n">
        <v>19000</v>
      </c>
      <c r="F130" s="218" t="inlineStr">
        <is>
          <t>工资19k，签订3年合同，试用期6个月，前3个月打8折。无其他补贴，无其他费用</t>
        </is>
      </c>
      <c r="G130" s="541" t="inlineStr">
        <is>
          <t xml:space="preserve">材料齐全
已回寄员工
</t>
        </is>
      </c>
      <c r="H130" s="82" t="inlineStr">
        <is>
          <t>实车测试工程师</t>
        </is>
      </c>
      <c r="I130" s="533" t="n">
        <v>45698</v>
      </c>
      <c r="J130" s="533" t="inlineStr">
        <is>
          <t>/</t>
        </is>
      </c>
      <c r="K130" s="533" t="n">
        <v>45513</v>
      </c>
      <c r="L130" s="534" t="n">
        <v>45691</v>
      </c>
      <c r="M130" s="82" t="inlineStr">
        <is>
          <t>北京</t>
        </is>
      </c>
      <c r="N130" s="82" t="inlineStr">
        <is>
          <t>北京</t>
        </is>
      </c>
      <c r="O130" s="82" t="n">
        <v>15200</v>
      </c>
      <c r="P130" s="82" t="n">
        <v>19000</v>
      </c>
      <c r="Q130" s="532" t="n">
        <v>0</v>
      </c>
      <c r="R130" s="532" t="n">
        <v>0</v>
      </c>
      <c r="S130" s="532" t="n">
        <v>0</v>
      </c>
      <c r="T130" s="541" t="inlineStr">
        <is>
          <t>第一次合同：3年
2025/2/10-2028/2/9</t>
        </is>
      </c>
      <c r="U130" s="82" t="inlineStr">
        <is>
          <t>6个月</t>
        </is>
      </c>
      <c r="V130" s="82" t="inlineStr">
        <is>
          <t>计算机科学与技术</t>
        </is>
      </c>
      <c r="W130" s="547" t="inlineStr">
        <is>
          <t>2011年09-
2015年07</t>
        </is>
      </c>
      <c r="X130" s="532" t="inlineStr">
        <is>
          <t>本科</t>
        </is>
      </c>
      <c r="Y130" s="223" t="inlineStr">
        <is>
          <t xml:space="preserve">st13703220047@163.com </t>
        </is>
      </c>
      <c r="Z130" s="532" t="inlineStr">
        <is>
          <t>河北省保定市容城县城关镇沟西村建利道93号</t>
        </is>
      </c>
      <c r="AA130" s="532" t="inlineStr">
        <is>
          <t xml:space="preserve"> 北京市海淀区友谊嘉园3期1-2-1403</t>
        </is>
      </c>
      <c r="AB130" s="82" t="inlineStr">
        <is>
          <t>，13703220047</t>
        </is>
      </c>
      <c r="AC130" s="494" t="inlineStr">
        <is>
          <t>130629199507050011</t>
        </is>
      </c>
      <c r="AD130" s="546" t="inlineStr">
        <is>
          <t>6217000140023657826</t>
        </is>
      </c>
      <c r="AE130" s="82" t="inlineStr">
        <is>
          <t>中国建设银行</t>
        </is>
      </c>
      <c r="AG130" s="532" t="inlineStr">
        <is>
          <t>否</t>
        </is>
      </c>
      <c r="AH130" s="240" t="inlineStr">
        <is>
          <t>第一次合同：3年：2025/2/10-2028/2/9</t>
        </is>
      </c>
      <c r="AI130" s="82">
        <f>DATEDIF(--TEXT(MID(AC130,7,8),"0-00-00"),TODAY(),"y")</f>
        <v/>
      </c>
      <c r="AJ130" s="548">
        <f>TEXT(MID(AC130,7,8),"0000-00-00")</f>
        <v/>
      </c>
      <c r="AK130" s="95">
        <f>CHOOSE(MONTH(AJ130),1,1,1,2,2,2,3,3,3,4,4,4)</f>
        <v/>
      </c>
    </row>
    <row r="131" s="558">
      <c r="A131" s="82" t="n">
        <v>59</v>
      </c>
      <c r="B131" s="532" t="inlineStr">
        <is>
          <t>苏志博</t>
        </is>
      </c>
      <c r="C131" s="532" t="inlineStr">
        <is>
          <t>邦芒</t>
        </is>
      </c>
      <c r="D131" s="82" t="inlineStr">
        <is>
          <t>男</t>
        </is>
      </c>
      <c r="E131" s="82" t="n">
        <v>15000</v>
      </c>
      <c r="F131" s="218" t="inlineStr">
        <is>
          <t>工资15k，签订三年合同，试用期6个月，前3个月8折。无其他补贴，无其他费用</t>
        </is>
      </c>
      <c r="G131" s="218" t="inlineStr">
        <is>
          <t>材料齐全
已回寄员工</t>
        </is>
      </c>
      <c r="H131" s="218" t="inlineStr">
        <is>
          <t>自动驾驶系统测试工程师（数据分析）</t>
        </is>
      </c>
      <c r="I131" s="533" t="n">
        <v>45705</v>
      </c>
      <c r="J131" s="533" t="inlineStr">
        <is>
          <t>/</t>
        </is>
      </c>
      <c r="K131" s="533" t="n">
        <v>45886</v>
      </c>
      <c r="L131" s="534" t="n">
        <v>45719</v>
      </c>
      <c r="M131" s="82" t="inlineStr">
        <is>
          <t>上海</t>
        </is>
      </c>
      <c r="N131" s="82" t="inlineStr">
        <is>
          <t>上海</t>
        </is>
      </c>
      <c r="O131" s="82" t="n">
        <v>12000</v>
      </c>
      <c r="P131" s="82" t="n">
        <v>15000</v>
      </c>
      <c r="Q131" s="532" t="n">
        <v>0</v>
      </c>
      <c r="R131" s="532" t="n">
        <v>0</v>
      </c>
      <c r="S131" s="532" t="n">
        <v>0</v>
      </c>
      <c r="T131" s="218" t="inlineStr">
        <is>
          <t>第一次合同：3年
2025/2/17-20282/16</t>
        </is>
      </c>
      <c r="U131" s="82" t="inlineStr">
        <is>
          <t>6个月</t>
        </is>
      </c>
      <c r="V131" s="532" t="inlineStr">
        <is>
          <t>计算机科学与技术</t>
        </is>
      </c>
      <c r="W131" s="533" t="inlineStr">
        <is>
          <t>2021年06</t>
        </is>
      </c>
      <c r="X131" s="532" t="inlineStr">
        <is>
          <t>本科</t>
        </is>
      </c>
      <c r="Y131" s="238" t="inlineStr">
        <is>
          <t>1301531437@qq.com</t>
        </is>
      </c>
      <c r="Z131" s="82" t="inlineStr">
        <is>
          <t>陕西省汉中市西乡县白龙塘镇何家山村二组</t>
        </is>
      </c>
      <c r="AA131" s="82" t="inlineStr">
        <is>
          <t>上海市浦东新区合庆镇庆星村四队薛家宅42号</t>
        </is>
      </c>
      <c r="AB131" s="82" t="n">
        <v>13761072500</v>
      </c>
      <c r="AC131" s="494" t="inlineStr">
        <is>
          <t>610724200009107015</t>
        </is>
      </c>
      <c r="AD131" s="546" t="inlineStr">
        <is>
          <t>6217001180087572635</t>
        </is>
      </c>
      <c r="AE131" s="82" t="inlineStr">
        <is>
          <t>中国建设银行</t>
        </is>
      </c>
      <c r="AG131" s="532" t="inlineStr">
        <is>
          <t>是</t>
        </is>
      </c>
      <c r="AH131" s="240" t="inlineStr">
        <is>
          <t>第一次合同：3年：2025/2/17-2028/2/16</t>
        </is>
      </c>
      <c r="AI131" s="82">
        <f>DATEDIF(--TEXT(MID(AC131,7,8),"0-00-00"),TODAY(),"y")</f>
        <v/>
      </c>
      <c r="AJ131" s="548">
        <f>TEXT(MID(AC131,7,8),"0000-00-00")</f>
        <v/>
      </c>
      <c r="AK131" s="95">
        <f>CHOOSE(MONTH(AJ131),1,1,1,2,2,2,3,3,3,4,4,4)</f>
        <v/>
      </c>
    </row>
    <row r="132" s="558">
      <c r="A132" s="82" t="n">
        <v>60</v>
      </c>
      <c r="B132" s="532" t="inlineStr">
        <is>
          <t>司继中</t>
        </is>
      </c>
      <c r="C132" s="218" t="inlineStr">
        <is>
          <t>北京文石</t>
        </is>
      </c>
      <c r="D132" s="82" t="inlineStr">
        <is>
          <t>男</t>
        </is>
      </c>
      <c r="E132" s="82" t="n">
        <v>8000</v>
      </c>
      <c r="F132" s="218" t="inlineStr">
        <is>
          <t>工资：6.4K/8K
签三年合同  试用期6个月 前3个月打八折
到岗时间：2025年02月24日
没有其他补贴</t>
        </is>
      </c>
      <c r="G132" s="218" t="inlineStr">
        <is>
          <t>材料齐全
已回寄员工</t>
        </is>
      </c>
      <c r="H132" s="82" t="inlineStr">
        <is>
          <t>数据验收员</t>
        </is>
      </c>
      <c r="I132" s="533" t="n">
        <v>45712</v>
      </c>
      <c r="J132" s="533" t="inlineStr">
        <is>
          <t>/</t>
        </is>
      </c>
      <c r="K132" s="533" t="n">
        <v>45892</v>
      </c>
      <c r="L132" s="534" t="n">
        <v>45717</v>
      </c>
      <c r="M132" s="82" t="inlineStr">
        <is>
          <t>北京</t>
        </is>
      </c>
      <c r="N132" s="82" t="inlineStr">
        <is>
          <t>北京</t>
        </is>
      </c>
      <c r="O132" s="82" t="inlineStr">
        <is>
          <t>6.4K</t>
        </is>
      </c>
      <c r="P132" s="82" t="inlineStr">
        <is>
          <t>8K</t>
        </is>
      </c>
      <c r="Q132" s="532" t="n">
        <v>0</v>
      </c>
      <c r="R132" s="532" t="n">
        <v>0</v>
      </c>
      <c r="S132" s="532" t="n">
        <v>0</v>
      </c>
      <c r="T132" s="218" t="inlineStr">
        <is>
          <t>第一次合同：3年：
2025/2/24-2028/2/23</t>
        </is>
      </c>
      <c r="U132" s="82" t="inlineStr">
        <is>
          <t>6个月</t>
        </is>
      </c>
      <c r="V132" s="218" t="inlineStr">
        <is>
          <t>建筑工程技术</t>
        </is>
      </c>
      <c r="W132" s="82" t="inlineStr">
        <is>
          <t>2024年07</t>
        </is>
      </c>
      <c r="X132" s="82" t="inlineStr">
        <is>
          <t>非全日制大专</t>
        </is>
      </c>
      <c r="Y132" s="238" t="inlineStr">
        <is>
          <t>sjz1658902424@163.com</t>
        </is>
      </c>
      <c r="Z132" s="82" t="inlineStr">
        <is>
          <t>河南省固始县李店乡老李集村邓东组</t>
        </is>
      </c>
      <c r="AA132" s="218" t="inlineStr">
        <is>
          <t>司继中
17611286678
北京市昌平区南邵镇姜屯村薛家胡同55号</t>
        </is>
      </c>
      <c r="AB132" s="82" t="inlineStr">
        <is>
          <t>’17611286678</t>
        </is>
      </c>
      <c r="AC132" s="494" t="inlineStr">
        <is>
          <t>411525200204259371</t>
        </is>
      </c>
      <c r="AD132" s="494" t="inlineStr">
        <is>
          <t>6215340300007521496</t>
        </is>
      </c>
      <c r="AE132" s="82" t="inlineStr">
        <is>
          <t>中国建设银行</t>
        </is>
      </c>
      <c r="AG132" s="532" t="inlineStr">
        <is>
          <t>是</t>
        </is>
      </c>
      <c r="AH132" s="240" t="inlineStr">
        <is>
          <t>第一次合同：3年：2025/2/24-2028/2/23</t>
        </is>
      </c>
      <c r="AI132" s="82">
        <f>DATEDIF(--TEXT(MID(AC132,7,8),"0-00-00"),TODAY(),"y")</f>
        <v/>
      </c>
      <c r="AJ132" s="548">
        <f>TEXT(MID(AC132,7,8),"0000-00-00")</f>
        <v/>
      </c>
      <c r="AK132" s="95">
        <f>CHOOSE(MONTH(AJ132),1,1,1,2,2,2,3,3,3,4,4,4)</f>
        <v/>
      </c>
    </row>
    <row r="133" customFormat="1" s="549">
      <c r="A133" s="197" t="n">
        <v>61</v>
      </c>
      <c r="B133" s="550" t="inlineStr">
        <is>
          <t>崔淑擎
2026.3.11lastday</t>
        </is>
      </c>
      <c r="C133" s="206" t="inlineStr">
        <is>
          <t>北京文石</t>
        </is>
      </c>
      <c r="D133" s="197" t="inlineStr">
        <is>
          <t>女</t>
        </is>
      </c>
      <c r="E133" s="197" t="n">
        <v>25000</v>
      </c>
      <c r="F133" s="206" t="inlineStr">
        <is>
          <t>工资：20K/25K
签三年合同 试用期6个月 前3个月打八折
到岗时间：2025年02月26日
没有其他补贴</t>
        </is>
      </c>
      <c r="G133" s="206" t="inlineStr">
        <is>
          <t>材料齐全
已回寄员工</t>
        </is>
      </c>
      <c r="H133" s="197" t="inlineStr">
        <is>
          <t>Golang开发工程师</t>
        </is>
      </c>
      <c r="I133" s="551" t="n">
        <v>45714</v>
      </c>
      <c r="J133" s="552" t="inlineStr">
        <is>
          <t>2026.3.11lastday，离职交接已完成~
1、3.11最终以客户结算为准最终结算了工资也补发了
2、2.25-3.10考勤一切正常（4.5发放2.25-3.10薪资+3.12、3.13两天年假+3.11最终以客户那边结算为准）
3、无其他报销
4、离职证明 3.11发起，日期为3.11</t>
        </is>
      </c>
      <c r="K133" s="551" t="n">
        <v>45894</v>
      </c>
      <c r="L133" s="553" t="n">
        <v>45717</v>
      </c>
      <c r="M133" s="197" t="inlineStr">
        <is>
          <t>北京</t>
        </is>
      </c>
      <c r="N133" s="197" t="inlineStr">
        <is>
          <t>北京</t>
        </is>
      </c>
      <c r="O133" s="197" t="inlineStr">
        <is>
          <t>20K</t>
        </is>
      </c>
      <c r="P133" s="197" t="inlineStr">
        <is>
          <t>25K</t>
        </is>
      </c>
      <c r="Q133" s="549" t="n">
        <v>0</v>
      </c>
      <c r="R133" s="549" t="n">
        <v>0</v>
      </c>
      <c r="S133" s="549" t="n">
        <v>0</v>
      </c>
      <c r="T133" s="206" t="inlineStr">
        <is>
          <t>第一次合同：3年：
2025/2/26-2028/2/25</t>
        </is>
      </c>
      <c r="U133" s="197" t="inlineStr">
        <is>
          <t>6个月</t>
        </is>
      </c>
      <c r="V133" s="197" t="inlineStr">
        <is>
          <t>计算机科学与技术</t>
        </is>
      </c>
      <c r="W133" s="197" t="inlineStr">
        <is>
          <t>2019年06</t>
        </is>
      </c>
      <c r="X133" s="197" t="inlineStr">
        <is>
          <t>本科</t>
        </is>
      </c>
      <c r="Y133" s="197" t="inlineStr">
        <is>
          <t>18737387054@163.com</t>
        </is>
      </c>
      <c r="Z133" s="197" t="inlineStr">
        <is>
          <t>河南省获嘉县位庄乡中渔池村北路东街34号</t>
        </is>
      </c>
      <c r="AA133" s="206" t="inlineStr">
        <is>
          <t>崔淑擎
18737387054
北京市北京市昌平区安居路八号院三号楼一单元1103</t>
        </is>
      </c>
      <c r="AB133" s="197" t="inlineStr">
        <is>
          <t>‘18737387054</t>
        </is>
      </c>
      <c r="AC133" s="491" t="inlineStr">
        <is>
          <t>410724199801082525</t>
        </is>
      </c>
      <c r="AD133" s="491" t="inlineStr">
        <is>
          <t>6217002430029704302</t>
        </is>
      </c>
      <c r="AE133" s="197" t="inlineStr">
        <is>
          <t>中国建设银行</t>
        </is>
      </c>
      <c r="AF133" s="197" t="n"/>
      <c r="AG133" s="197" t="inlineStr">
        <is>
          <t>否</t>
        </is>
      </c>
      <c r="AH133" s="241" t="inlineStr">
        <is>
          <t>第一次合同：3年：2025/2/26-2028/2/25</t>
        </is>
      </c>
      <c r="AI133" s="197">
        <f>DATEDIF(--TEXT(MID(AC133,7,8),"0-00-00"),TODAY(),"y")</f>
        <v/>
      </c>
      <c r="AJ133" s="578">
        <f>TEXT(MID(AC133,7,8),"0000-00-00")</f>
        <v/>
      </c>
      <c r="AK133" s="243">
        <f>CHOOSE(MONTH(AJ133),1,1,1,2,2,2,3,3,3,4,4,4)</f>
        <v/>
      </c>
    </row>
    <row r="134" customFormat="1" s="532">
      <c r="A134" s="82" t="n">
        <v>62</v>
      </c>
      <c r="B134" s="532" t="inlineStr">
        <is>
          <t>龙阳</t>
        </is>
      </c>
      <c r="C134" s="218" t="inlineStr">
        <is>
          <t>北京文石</t>
        </is>
      </c>
      <c r="D134" s="82" t="inlineStr">
        <is>
          <t>男</t>
        </is>
      </c>
      <c r="E134" s="82" t="n">
        <v>17000</v>
      </c>
      <c r="F134" s="218" t="inlineStr">
        <is>
          <t>工资17K,签订三年合同，试用期6个月，前3个月打8折。无其他补贴，无其他费用</t>
        </is>
      </c>
      <c r="G134" s="218" t="inlineStr">
        <is>
          <t>材料齐全
已回寄员工</t>
        </is>
      </c>
      <c r="H134" s="82" t="inlineStr">
        <is>
          <t>实车测试工程师</t>
        </is>
      </c>
      <c r="I134" s="533" t="n">
        <v>45719</v>
      </c>
      <c r="J134" s="533" t="inlineStr">
        <is>
          <t>/</t>
        </is>
      </c>
      <c r="K134" s="533" t="n">
        <v>45902</v>
      </c>
      <c r="L134" s="534" t="n">
        <v>45717</v>
      </c>
      <c r="M134" s="532" t="inlineStr">
        <is>
          <t>北京</t>
        </is>
      </c>
      <c r="N134" s="82" t="inlineStr">
        <is>
          <t>北京</t>
        </is>
      </c>
      <c r="O134" s="82" t="n">
        <v>13600</v>
      </c>
      <c r="P134" s="82" t="n">
        <v>17000</v>
      </c>
      <c r="Q134" s="532" t="n">
        <v>0</v>
      </c>
      <c r="R134" s="532" t="n">
        <v>0</v>
      </c>
      <c r="S134" s="532" t="n">
        <v>0</v>
      </c>
      <c r="T134" s="218" t="inlineStr">
        <is>
          <t>第一次合同：3年：
2025/3/3-2028/3/2</t>
        </is>
      </c>
      <c r="U134" s="82" t="inlineStr">
        <is>
          <t>6个月</t>
        </is>
      </c>
      <c r="V134" s="82" t="inlineStr">
        <is>
          <t>计算机科学与技术</t>
        </is>
      </c>
      <c r="W134" s="82" t="inlineStr">
        <is>
          <t>2012年07</t>
        </is>
      </c>
      <c r="X134" s="532" t="inlineStr">
        <is>
          <t>本科</t>
        </is>
      </c>
      <c r="Y134" s="82" t="inlineStr">
        <is>
          <t>734392806@qq.com</t>
        </is>
      </c>
      <c r="Z134" s="82" t="inlineStr">
        <is>
          <t>北京市延庆县千家店镇大栜树村后沟39号</t>
        </is>
      </c>
      <c r="AA134" s="218" t="inlineStr">
        <is>
          <t>龙阳
13811695492
北京市北京市丰台区天伦锦城10-1-1101</t>
        </is>
      </c>
      <c r="AB134" s="82" t="inlineStr">
        <is>
          <t>，13811695492</t>
        </is>
      </c>
      <c r="AC134" s="494" t="inlineStr">
        <is>
          <t>110229198809064216</t>
        </is>
      </c>
      <c r="AD134" s="546" t="inlineStr">
        <is>
          <t>6217000010201813220</t>
        </is>
      </c>
      <c r="AE134" s="82" t="inlineStr">
        <is>
          <t>中国建设银行</t>
        </is>
      </c>
      <c r="AF134" s="532" t="n"/>
      <c r="AG134" s="532" t="inlineStr">
        <is>
          <t>是</t>
        </is>
      </c>
      <c r="AH134" s="244" t="inlineStr">
        <is>
          <t>第一次合同：3年：2025/3/3-2028/3/2</t>
        </is>
      </c>
      <c r="AI134" s="82">
        <f>DATEDIF(--TEXT(MID(AC134,7,8),"0-00-00"),TODAY(),"y")</f>
        <v/>
      </c>
      <c r="AJ134" s="548">
        <f>TEXT(MID(AC134,7,8),"0000-00-00")</f>
        <v/>
      </c>
      <c r="AK134" s="95">
        <f>CHOOSE(MONTH(AJ134),1,1,1,2,2,2,3,3,3,4,4,4)</f>
        <v/>
      </c>
    </row>
    <row r="135" customFormat="1" s="549">
      <c r="A135" s="197" t="n">
        <v>133</v>
      </c>
      <c r="B135" s="550" t="inlineStr">
        <is>
          <t>孙大陆
（放弃入职）</t>
        </is>
      </c>
      <c r="C135" s="550" t="inlineStr">
        <is>
          <t>/</t>
        </is>
      </c>
      <c r="D135" s="197" t="inlineStr">
        <is>
          <t>男</t>
        </is>
      </c>
      <c r="E135" s="197" t="n">
        <v>0</v>
      </c>
      <c r="F135" s="206" t="inlineStr">
        <is>
          <t>工资13k，签订一年合同，试用期2个月，2个月打8折。无其他补贴，无其他费用</t>
        </is>
      </c>
      <c r="G135" s="206" t="inlineStr">
        <is>
          <t>材料已邮寄员工
未回寄我
（预计项目今年十二月份结束，候选人不知情）</t>
        </is>
      </c>
      <c r="H135" s="197" t="inlineStr">
        <is>
          <t>智能驾驶整车改装工程师</t>
        </is>
      </c>
      <c r="I135" s="551" t="n">
        <v>45721</v>
      </c>
      <c r="J135" s="551" t="inlineStr">
        <is>
          <t>/</t>
        </is>
      </c>
      <c r="K135" s="533" t="inlineStr">
        <is>
          <t>/</t>
        </is>
      </c>
      <c r="L135" s="553" t="inlineStr">
        <is>
          <t>/</t>
        </is>
      </c>
      <c r="M135" s="197" t="inlineStr">
        <is>
          <t>上海</t>
        </is>
      </c>
      <c r="N135" s="197" t="inlineStr">
        <is>
          <t>上海</t>
        </is>
      </c>
      <c r="O135" s="230" t="n">
        <v>10400</v>
      </c>
      <c r="P135" s="230" t="n">
        <v>13000</v>
      </c>
      <c r="Q135" s="532" t="n">
        <v>0</v>
      </c>
      <c r="R135" s="532" t="n">
        <v>0</v>
      </c>
      <c r="S135" s="532" t="n">
        <v>0</v>
      </c>
      <c r="T135" s="549" t="inlineStr">
        <is>
          <t>/</t>
        </is>
      </c>
      <c r="U135" s="549" t="n"/>
      <c r="V135" s="549" t="inlineStr">
        <is>
          <t>/</t>
        </is>
      </c>
      <c r="W135" s="551" t="inlineStr">
        <is>
          <t>/</t>
        </is>
      </c>
      <c r="X135" s="549" t="n"/>
      <c r="Y135" s="197" t="inlineStr">
        <is>
          <t>349340728@qq.com</t>
        </is>
      </c>
      <c r="Z135" s="197" t="inlineStr">
        <is>
          <t>/</t>
        </is>
      </c>
      <c r="AA135" s="197" t="inlineStr">
        <is>
          <t>/</t>
        </is>
      </c>
      <c r="AB135" s="197" t="inlineStr">
        <is>
          <t>，18756996099</t>
        </is>
      </c>
      <c r="AC135" s="491" t="inlineStr">
        <is>
          <t>340121198907051319</t>
        </is>
      </c>
      <c r="AD135" s="549" t="inlineStr">
        <is>
          <t>/</t>
        </is>
      </c>
      <c r="AE135" s="197" t="inlineStr">
        <is>
          <t>中国建设银行</t>
        </is>
      </c>
      <c r="AF135" s="549" t="n"/>
      <c r="AG135" s="549" t="inlineStr">
        <is>
          <t>否</t>
        </is>
      </c>
      <c r="AH135" s="551" t="inlineStr">
        <is>
          <t>/</t>
        </is>
      </c>
      <c r="AI135" s="82">
        <f>DATEDIF(--TEXT(MID(AC135,7,8),"0-00-00"),TODAY(),"y")</f>
        <v/>
      </c>
      <c r="AJ135" s="548">
        <f>TEXT(MID(AC135,7,8),"0000-00-00")</f>
        <v/>
      </c>
      <c r="AK135" s="95">
        <f>CHOOSE(MONTH(AJ135),1,1,1,2,2,2,3,3,3,4,4,4)</f>
        <v/>
      </c>
    </row>
    <row r="136" customFormat="1" s="549">
      <c r="A136" s="197" t="n">
        <v>134</v>
      </c>
      <c r="B136" s="550" t="inlineStr">
        <is>
          <t>周方
（放弃入职）</t>
        </is>
      </c>
      <c r="C136" s="550" t="inlineStr">
        <is>
          <t>/</t>
        </is>
      </c>
      <c r="D136" s="197" t="inlineStr">
        <is>
          <t>男</t>
        </is>
      </c>
      <c r="E136" s="197" t="n">
        <v>0</v>
      </c>
      <c r="F136" s="206" t="inlineStr">
        <is>
          <t>工资13k，签订一年合同，试用期2个月，2个月打8折。无其他补贴，无其他费用</t>
        </is>
      </c>
      <c r="G136" s="206" t="inlineStr">
        <is>
          <t>材料已邮寄员工
未回寄我
（预计项目今年十二月份结束，候选人不知情）</t>
        </is>
      </c>
      <c r="H136" s="197" t="inlineStr">
        <is>
          <t>智能驾驶整车改装工程师</t>
        </is>
      </c>
      <c r="I136" s="551" t="n">
        <v>45721</v>
      </c>
      <c r="J136" s="551" t="inlineStr">
        <is>
          <t>/</t>
        </is>
      </c>
      <c r="K136" s="533" t="inlineStr">
        <is>
          <t>/</t>
        </is>
      </c>
      <c r="L136" s="553" t="inlineStr">
        <is>
          <t>/</t>
        </is>
      </c>
      <c r="M136" s="197" t="inlineStr">
        <is>
          <t>上海</t>
        </is>
      </c>
      <c r="N136" s="197" t="inlineStr">
        <is>
          <t>上海</t>
        </is>
      </c>
      <c r="O136" s="230" t="n">
        <v>10400</v>
      </c>
      <c r="P136" s="230" t="n">
        <v>13000</v>
      </c>
      <c r="Q136" s="532" t="n">
        <v>0</v>
      </c>
      <c r="R136" s="532" t="n">
        <v>0</v>
      </c>
      <c r="S136" s="532" t="n">
        <v>0</v>
      </c>
      <c r="T136" s="549" t="inlineStr">
        <is>
          <t>/</t>
        </is>
      </c>
      <c r="U136" s="549" t="n"/>
      <c r="V136" s="549" t="inlineStr">
        <is>
          <t>/</t>
        </is>
      </c>
      <c r="W136" s="551" t="inlineStr">
        <is>
          <t>/</t>
        </is>
      </c>
      <c r="X136" s="549" t="n"/>
      <c r="Y136" s="224" t="inlineStr">
        <is>
          <t>736052331@qq.com</t>
        </is>
      </c>
      <c r="Z136" s="197" t="inlineStr">
        <is>
          <t>/</t>
        </is>
      </c>
      <c r="AA136" s="197" t="inlineStr">
        <is>
          <t>/</t>
        </is>
      </c>
      <c r="AB136" s="197" t="inlineStr">
        <is>
          <t>，13818366436</t>
        </is>
      </c>
      <c r="AC136" s="491" t="inlineStr">
        <is>
          <t>421123198906213615</t>
        </is>
      </c>
      <c r="AD136" s="549" t="inlineStr">
        <is>
          <t>/</t>
        </is>
      </c>
      <c r="AE136" s="197" t="inlineStr">
        <is>
          <t>中国建设银行</t>
        </is>
      </c>
      <c r="AF136" s="549" t="n"/>
      <c r="AG136" s="549" t="inlineStr">
        <is>
          <t>否</t>
        </is>
      </c>
      <c r="AH136" s="551" t="inlineStr">
        <is>
          <t>/</t>
        </is>
      </c>
      <c r="AI136" s="82">
        <f>DATEDIF(--TEXT(MID(AC136,7,8),"0-00-00"),TODAY(),"y")</f>
        <v/>
      </c>
      <c r="AJ136" s="548">
        <f>TEXT(MID(AC136,7,8),"0000-00-00")</f>
        <v/>
      </c>
      <c r="AK136" s="95">
        <f>CHOOSE(MONTH(AJ136),1,1,1,2,2,2,3,3,3,4,4,4)</f>
        <v/>
      </c>
    </row>
    <row r="137" customFormat="1" s="532">
      <c r="A137" s="82" t="n">
        <v>63</v>
      </c>
      <c r="B137" s="532" t="inlineStr">
        <is>
          <t>陈鑫</t>
        </is>
      </c>
      <c r="C137" s="532" t="inlineStr">
        <is>
          <t>今才</t>
        </is>
      </c>
      <c r="D137" s="82" t="inlineStr">
        <is>
          <t>男</t>
        </is>
      </c>
      <c r="E137" s="82" t="n">
        <v>14000</v>
      </c>
      <c r="F137" s="218" t="inlineStr">
        <is>
          <t xml:space="preserve">工资14K，签订三年合同，试用期6个月，前3个月8折。无其他补贴，无其他费用
</t>
        </is>
      </c>
      <c r="G137" s="218" t="inlineStr">
        <is>
          <t>材料齐全
已回寄员工</t>
        </is>
      </c>
      <c r="H137" s="82" t="inlineStr">
        <is>
          <t>销售运营</t>
        </is>
      </c>
      <c r="I137" s="533" t="n">
        <v>45721</v>
      </c>
      <c r="J137" s="533" t="inlineStr">
        <is>
          <t>/</t>
        </is>
      </c>
      <c r="K137" s="533" t="n">
        <v>45904</v>
      </c>
      <c r="L137" s="534" t="n">
        <v>45717</v>
      </c>
      <c r="M137" s="532" t="inlineStr">
        <is>
          <t>深圳</t>
        </is>
      </c>
      <c r="N137" s="82" t="inlineStr">
        <is>
          <t>深圳</t>
        </is>
      </c>
      <c r="O137" s="82" t="n">
        <v>11200</v>
      </c>
      <c r="P137" s="82" t="n">
        <v>14000</v>
      </c>
      <c r="Q137" s="532" t="n">
        <v>0</v>
      </c>
      <c r="R137" s="532" t="n">
        <v>0</v>
      </c>
      <c r="S137" s="532" t="n">
        <v>0</v>
      </c>
      <c r="T137" s="541" t="inlineStr">
        <is>
          <t>第一次合同：3年
2025/3/5-
2028/3/4</t>
        </is>
      </c>
      <c r="U137" s="532" t="inlineStr">
        <is>
          <t>6个月</t>
        </is>
      </c>
      <c r="V137" s="532" t="inlineStr">
        <is>
          <t>农学</t>
        </is>
      </c>
      <c r="W137" s="533" t="inlineStr">
        <is>
          <t>2017年06</t>
        </is>
      </c>
      <c r="X137" s="532" t="inlineStr">
        <is>
          <t>本科</t>
        </is>
      </c>
      <c r="Y137" s="223" t="inlineStr">
        <is>
          <t>1539347374@qq.com</t>
        </is>
      </c>
      <c r="Z137" s="82" t="inlineStr">
        <is>
          <t>湖南省攸县莲塘坳乡因塘村董家湾组董家湾019号</t>
        </is>
      </c>
      <c r="AA137" s="218" t="inlineStr">
        <is>
          <t>陈鑫
19065208612
广东省深圳市南山区高新南十道金地威新中心A座17F地平线</t>
        </is>
      </c>
      <c r="AB137" s="82" t="inlineStr">
        <is>
          <t>，19065208612</t>
        </is>
      </c>
      <c r="AC137" s="494" t="inlineStr">
        <is>
          <t>430223199511171263</t>
        </is>
      </c>
      <c r="AD137" s="546" t="inlineStr">
        <is>
          <t>6217002940101504271</t>
        </is>
      </c>
      <c r="AE137" s="82" t="inlineStr">
        <is>
          <t>中国建设银行</t>
        </is>
      </c>
      <c r="AF137" s="532" t="n"/>
      <c r="AG137" s="532" t="inlineStr">
        <is>
          <t>是</t>
        </is>
      </c>
      <c r="AH137" s="240" t="inlineStr">
        <is>
          <t>第一次合同：3年：2025/3/5-2028/3/4</t>
        </is>
      </c>
      <c r="AI137" s="82">
        <f>DATEDIF(--TEXT(MID(AC137,7,8),"0-00-00"),TODAY(),"y")</f>
        <v/>
      </c>
      <c r="AJ137" s="548">
        <f>TEXT(MID(AC137,7,8),"0000-00-00")</f>
        <v/>
      </c>
      <c r="AK137" s="95">
        <f>CHOOSE(MONTH(AJ137),1,1,1,2,2,2,3,3,3,4,4,4)</f>
        <v/>
      </c>
    </row>
    <row r="138" s="558">
      <c r="A138" s="82" t="n">
        <v>64</v>
      </c>
      <c r="B138" s="532" t="inlineStr">
        <is>
          <t>梁佳俊</t>
        </is>
      </c>
      <c r="C138" s="218" t="inlineStr">
        <is>
          <t>北京文石</t>
        </is>
      </c>
      <c r="D138" s="82" t="inlineStr">
        <is>
          <t>男</t>
        </is>
      </c>
      <c r="E138" s="82" t="n">
        <v>16500</v>
      </c>
      <c r="F138" s="218" t="inlineStr">
        <is>
          <t>工资：13.2K/16.5K
签三年合同 试用期6个月 前3个月打八折
到岗时间：2025年3月3日
没有其他补贴</t>
        </is>
      </c>
      <c r="G138" s="218" t="inlineStr">
        <is>
          <t>材料齐全
已回寄员工</t>
        </is>
      </c>
      <c r="H138" s="82" t="inlineStr">
        <is>
          <t>实车测试工程师</t>
        </is>
      </c>
      <c r="I138" s="533" t="n">
        <v>45719</v>
      </c>
      <c r="J138" s="533" t="inlineStr">
        <is>
          <t>/</t>
        </is>
      </c>
      <c r="K138" s="533" t="n">
        <v>45902</v>
      </c>
      <c r="L138" s="534" t="n">
        <v>45717</v>
      </c>
      <c r="M138" s="82" t="inlineStr">
        <is>
          <t>北京</t>
        </is>
      </c>
      <c r="N138" s="82" t="inlineStr">
        <is>
          <t>北京</t>
        </is>
      </c>
      <c r="O138" s="82" t="inlineStr">
        <is>
          <t>13.2K</t>
        </is>
      </c>
      <c r="P138" s="82" t="inlineStr">
        <is>
          <t>16.5K</t>
        </is>
      </c>
      <c r="Q138" s="532" t="n">
        <v>0</v>
      </c>
      <c r="R138" s="532" t="n">
        <v>0</v>
      </c>
      <c r="S138" s="532" t="n">
        <v>0</v>
      </c>
      <c r="T138" s="218" t="inlineStr">
        <is>
          <t>第一次合同：3年：
2025/3/3-2028/3/2</t>
        </is>
      </c>
      <c r="U138" s="82" t="inlineStr">
        <is>
          <t>6个月</t>
        </is>
      </c>
      <c r="V138" s="82" t="inlineStr">
        <is>
          <t>计算机科学与技术</t>
        </is>
      </c>
      <c r="W138" s="82" t="inlineStr">
        <is>
          <t>2021年06</t>
        </is>
      </c>
      <c r="X138" s="82" t="inlineStr">
        <is>
          <t>本科</t>
        </is>
      </c>
      <c r="Y138" s="82" t="inlineStr">
        <is>
          <t>lll305317058@163.com</t>
        </is>
      </c>
      <c r="Z138" s="82" t="inlineStr">
        <is>
          <t>河北省张家口市涿鹿县温泉屯乡龙王堂村890号</t>
        </is>
      </c>
      <c r="AA138" s="218" t="inlineStr">
        <is>
          <t>梁佳俊
17631228310
北京市北京市昌平区沙河镇于辛庄村委会</t>
        </is>
      </c>
      <c r="AB138" s="82" t="inlineStr">
        <is>
          <t>‘17631228310</t>
        </is>
      </c>
      <c r="AC138" s="494" t="inlineStr">
        <is>
          <t>130731199907212611</t>
        </is>
      </c>
      <c r="AD138" s="494" t="inlineStr">
        <is>
          <t>6215340300007654537</t>
        </is>
      </c>
      <c r="AE138" s="82" t="inlineStr">
        <is>
          <t>中国建设银行</t>
        </is>
      </c>
      <c r="AG138" s="532" t="inlineStr">
        <is>
          <t>是</t>
        </is>
      </c>
      <c r="AH138" s="240" t="inlineStr">
        <is>
          <t>第一次合同：3年：2025/3/3-2028/3/2</t>
        </is>
      </c>
      <c r="AI138" s="82">
        <f>DATEDIF(--TEXT(MID(AC138,7,8),"0-00-00"),TODAY(),"y")</f>
        <v/>
      </c>
      <c r="AJ138" s="548">
        <f>TEXT(MID(AC138,7,8),"0000-00-00")</f>
        <v/>
      </c>
      <c r="AK138" s="95">
        <f>CHOOSE(MONTH(AJ138),1,1,1,2,2,2,3,3,3,4,4,4)</f>
        <v/>
      </c>
    </row>
    <row r="139" customFormat="1" s="549">
      <c r="A139" s="197" t="n">
        <v>73</v>
      </c>
      <c r="B139" s="550" t="inlineStr">
        <is>
          <t>王子成
（2025/8/8lastday）</t>
        </is>
      </c>
      <c r="C139" s="550" t="inlineStr">
        <is>
          <t>/</t>
        </is>
      </c>
      <c r="D139" s="197" t="inlineStr">
        <is>
          <t>男</t>
        </is>
      </c>
      <c r="E139" s="197" t="n">
        <v>6500</v>
      </c>
      <c r="F139" s="206" t="inlineStr">
        <is>
          <t>工资：6.5K
签短期6个月合同，试用期不打折
到岗时间：2025年3月5日
没有其他补贴</t>
        </is>
      </c>
      <c r="G139" s="206" t="inlineStr">
        <is>
          <t>材料齐全
已回寄员工</t>
        </is>
      </c>
      <c r="H139" s="197" t="inlineStr">
        <is>
          <t>采集质检专员</t>
        </is>
      </c>
      <c r="I139" s="551" t="n">
        <v>45721</v>
      </c>
      <c r="J139" s="551" t="inlineStr">
        <is>
          <t>2025/8/8lastday主动离职说是家里有急事</t>
        </is>
      </c>
      <c r="K139" s="533" t="inlineStr">
        <is>
          <t>短期6个月
无试用期</t>
        </is>
      </c>
      <c r="L139" s="553" t="n">
        <v>45717</v>
      </c>
      <c r="M139" s="197" t="inlineStr">
        <is>
          <t>南京</t>
        </is>
      </c>
      <c r="N139" s="197" t="inlineStr">
        <is>
          <t>南京</t>
        </is>
      </c>
      <c r="O139" s="230" t="inlineStr">
        <is>
          <t>6.5K</t>
        </is>
      </c>
      <c r="P139" s="230" t="inlineStr">
        <is>
          <t>6.5K</t>
        </is>
      </c>
      <c r="Q139" s="532" t="n">
        <v>0</v>
      </c>
      <c r="R139" s="532" t="n">
        <v>0</v>
      </c>
      <c r="S139" s="532" t="n">
        <v>0</v>
      </c>
      <c r="T139" s="206" t="inlineStr">
        <is>
          <t>第一次合同：短期6个月
2025/3/5-2025/9/4</t>
        </is>
      </c>
      <c r="U139" s="197" t="inlineStr">
        <is>
          <t>/</t>
        </is>
      </c>
      <c r="V139" s="197" t="inlineStr">
        <is>
          <t>人工智能技术应用</t>
        </is>
      </c>
      <c r="W139" s="197" t="inlineStr">
        <is>
          <t>2023年06</t>
        </is>
      </c>
      <c r="X139" s="197" t="inlineStr">
        <is>
          <t>本科</t>
        </is>
      </c>
      <c r="Y139" s="197" t="inlineStr">
        <is>
          <t>3610210580@qq.com</t>
        </is>
      </c>
      <c r="Z139" s="197" t="inlineStr">
        <is>
          <t>江苏省泰州市姜堰区罗塘银穆王舍组26号</t>
        </is>
      </c>
      <c r="AA139" s="197" t="inlineStr">
        <is>
          <t>王子成
18067544489
江苏省南京市栖霞区恒久路与兴智路交汇处东北侧璀璨云著一单元7层701</t>
        </is>
      </c>
      <c r="AB139" s="197" t="inlineStr">
        <is>
          <t>‘18067544489</t>
        </is>
      </c>
      <c r="AC139" s="491" t="inlineStr">
        <is>
          <t>321284200408088019</t>
        </is>
      </c>
      <c r="AD139" s="491" t="inlineStr">
        <is>
          <t>6217001370060866316</t>
        </is>
      </c>
      <c r="AE139" s="197" t="inlineStr">
        <is>
          <t>中国建设银行</t>
        </is>
      </c>
      <c r="AF139" s="549" t="n"/>
      <c r="AG139" s="549" t="inlineStr">
        <is>
          <t>否</t>
        </is>
      </c>
      <c r="AH139" s="551" t="inlineStr">
        <is>
          <t>第一次合同：短期6个月:
2025/3/5-2025/9/4</t>
        </is>
      </c>
      <c r="AI139" s="82">
        <f>DATEDIF(--TEXT(MID(AC139,7,8),"0-00-00"),TODAY(),"y")</f>
        <v/>
      </c>
      <c r="AJ139" s="548">
        <f>TEXT(MID(AC139,7,8),"0000-00-00")</f>
        <v/>
      </c>
      <c r="AK139" s="95">
        <f>CHOOSE(MONTH(AJ139),1,1,1,2,2,2,3,3,3,4,4,4)</f>
        <v/>
      </c>
    </row>
    <row r="140" customFormat="1" s="532">
      <c r="A140" s="82" t="n">
        <v>65</v>
      </c>
      <c r="B140" s="532" t="inlineStr">
        <is>
          <t>孟鑫璐</t>
        </is>
      </c>
      <c r="C140" s="218" t="inlineStr">
        <is>
          <t>北京文石</t>
        </is>
      </c>
      <c r="D140" s="82" t="inlineStr">
        <is>
          <t>女</t>
        </is>
      </c>
      <c r="E140" s="82">
        <f>8000+1000</f>
        <v/>
      </c>
      <c r="F140" s="218" t="inlineStr">
        <is>
          <t>工资：7.2K/8K-2025/9/10日起涨薪1000元/月，=9000元/月
签短期6个月的合同，试用期1个月打九折
到岗时间2025年3月10日</t>
        </is>
      </c>
      <c r="G140" s="218" t="inlineStr">
        <is>
          <t>材料齐全
已回寄员工
项目结束补1000元（报销享有快速通道）</t>
        </is>
      </c>
      <c r="H140" s="82" t="inlineStr">
        <is>
          <t>采集质检专员</t>
        </is>
      </c>
      <c r="I140" s="533" t="n">
        <v>45726</v>
      </c>
      <c r="J140" s="533" t="inlineStr">
        <is>
          <t>/</t>
        </is>
      </c>
      <c r="K140" s="533" t="n">
        <v>45756</v>
      </c>
      <c r="L140" s="534" t="n">
        <v>45717</v>
      </c>
      <c r="M140" s="82" t="inlineStr">
        <is>
          <t>北京</t>
        </is>
      </c>
      <c r="N140" s="82" t="inlineStr">
        <is>
          <t>北京</t>
        </is>
      </c>
      <c r="O140" s="82" t="inlineStr">
        <is>
          <t>7.2K</t>
        </is>
      </c>
      <c r="P140" s="82" t="inlineStr">
        <is>
          <t>8K</t>
        </is>
      </c>
      <c r="Q140" s="532" t="n">
        <v>0</v>
      </c>
      <c r="R140" s="532" t="n">
        <v>0</v>
      </c>
      <c r="S140" s="532" t="n">
        <v>0</v>
      </c>
      <c r="T140" s="218" t="inlineStr">
        <is>
          <t xml:space="preserve">第一次合同：短期6个月左右的合同2025/3/10-2025/9/9
</t>
        </is>
      </c>
      <c r="U140" s="82" t="inlineStr">
        <is>
          <t>/</t>
        </is>
      </c>
      <c r="V140" s="82" t="inlineStr">
        <is>
          <t>计算机应用技术</t>
        </is>
      </c>
      <c r="W140" s="82" t="inlineStr">
        <is>
          <t>24年06</t>
        </is>
      </c>
      <c r="X140" s="82" t="inlineStr">
        <is>
          <t>大专</t>
        </is>
      </c>
      <c r="Y140" s="238" t="inlineStr">
        <is>
          <t>1809159770@qq.com</t>
        </is>
      </c>
      <c r="Z140" s="82" t="inlineStr">
        <is>
          <t>山东省阳谷县十五里元镇孟堤口村275-2号</t>
        </is>
      </c>
      <c r="AA140" s="218" t="inlineStr">
        <is>
          <t>孟鑫璐
17742063544
北京市北京市昌平区百善镇孟祖村</t>
        </is>
      </c>
      <c r="AB140" s="82" t="inlineStr">
        <is>
          <t>‘17742063544</t>
        </is>
      </c>
      <c r="AC140" s="494" t="inlineStr">
        <is>
          <t>371521200302240924</t>
        </is>
      </c>
      <c r="AD140" s="494" t="inlineStr">
        <is>
          <t>6217000010202070135</t>
        </is>
      </c>
      <c r="AE140" s="82" t="inlineStr">
        <is>
          <t>中国建设银行</t>
        </is>
      </c>
      <c r="AF140" s="532" t="n"/>
      <c r="AG140" s="532" t="inlineStr">
        <is>
          <t>是</t>
        </is>
      </c>
      <c r="AH140" s="547" t="inlineStr">
        <is>
          <t>第一次合同：短期6个月左右的合同2025/3/10-2025/9/9
第二次合同：2025/9/10-短期结束，合同没写日期很好。
项目上沟通预计是2025.12月底。
孟鑫璐延期到26年2月底，2025.12.29已签署延期协议OK。
孟鑫璐延期到26年8月底，延期协议已续签完毕</t>
        </is>
      </c>
      <c r="AI140" s="82">
        <f>DATEDIF(--TEXT(MID(AC140,7,8),"0-00-00"),TODAY(),"y")</f>
        <v/>
      </c>
      <c r="AJ140" s="548">
        <f>TEXT(MID(AC140,7,8),"0000-00-00")</f>
        <v/>
      </c>
      <c r="AK140" s="95">
        <f>CHOOSE(MONTH(AJ140),1,1,1,2,2,2,3,3,3,4,4,4)</f>
        <v/>
      </c>
    </row>
    <row r="141" customFormat="1" s="549">
      <c r="A141" s="197" t="n">
        <v>139</v>
      </c>
      <c r="B141" s="550" t="inlineStr">
        <is>
          <t>张桓嘉
（放弃入职）</t>
        </is>
      </c>
      <c r="C141" s="550" t="inlineStr">
        <is>
          <t>/</t>
        </is>
      </c>
      <c r="D141" s="197" t="inlineStr">
        <is>
          <t>男</t>
        </is>
      </c>
      <c r="E141" s="197" t="n">
        <v>0</v>
      </c>
      <c r="F141" s="206" t="inlineStr">
        <is>
          <t>工资：11.6K /14,5K
签短期半年的合同，试用期1个月打八折
到岗时间：2025年3月12日
没有其他补贴</t>
        </is>
      </c>
      <c r="G141" s="206" t="inlineStr">
        <is>
          <t>待准备</t>
        </is>
      </c>
      <c r="H141" s="197" t="inlineStr">
        <is>
          <t>实车测试工程师</t>
        </is>
      </c>
      <c r="I141" s="551" t="n">
        <v>45728</v>
      </c>
      <c r="J141" s="551" t="inlineStr">
        <is>
          <t>放弃入职</t>
        </is>
      </c>
      <c r="K141" s="533" t="n">
        <v>45758</v>
      </c>
      <c r="L141" s="553" t="inlineStr">
        <is>
          <t>/</t>
        </is>
      </c>
      <c r="M141" s="197" t="inlineStr">
        <is>
          <t>上海</t>
        </is>
      </c>
      <c r="N141" s="197" t="inlineStr">
        <is>
          <t>上海</t>
        </is>
      </c>
      <c r="O141" s="230" t="inlineStr">
        <is>
          <t>11.6K</t>
        </is>
      </c>
      <c r="P141" s="230" t="inlineStr">
        <is>
          <t>14.5K</t>
        </is>
      </c>
      <c r="Q141" s="532" t="n">
        <v>0</v>
      </c>
      <c r="R141" s="532" t="n">
        <v>0</v>
      </c>
      <c r="S141" s="532" t="n">
        <v>0</v>
      </c>
      <c r="T141" s="206" t="inlineStr">
        <is>
          <t>第一次合同：短期6个月
2025/3/12-2025/9/11</t>
        </is>
      </c>
      <c r="U141" s="197" t="inlineStr">
        <is>
          <t>/</t>
        </is>
      </c>
      <c r="V141" s="197" t="inlineStr">
        <is>
          <t>计算机科学与技术</t>
        </is>
      </c>
      <c r="W141" s="197" t="inlineStr">
        <is>
          <t>2018年06</t>
        </is>
      </c>
      <c r="X141" s="197" t="inlineStr">
        <is>
          <t>本科</t>
        </is>
      </c>
      <c r="Y141" s="197" t="inlineStr">
        <is>
          <t>hj1225260828@163.com</t>
        </is>
      </c>
      <c r="Z141" s="197" t="inlineStr">
        <is>
          <t>河南省扶沟县吕潭乡路庄行政村</t>
        </is>
      </c>
      <c r="AA141" s="197" t="n"/>
      <c r="AB141" s="197" t="inlineStr">
        <is>
          <t>‘17633948807</t>
        </is>
      </c>
      <c r="AC141" s="491" t="inlineStr">
        <is>
          <t>412721199805265436</t>
        </is>
      </c>
      <c r="AD141" s="197" t="inlineStr">
        <is>
          <t>/</t>
        </is>
      </c>
      <c r="AE141" s="197" t="inlineStr">
        <is>
          <t>中国建设银行</t>
        </is>
      </c>
      <c r="AF141" s="549" t="n"/>
      <c r="AG141" s="549" t="inlineStr">
        <is>
          <t>否</t>
        </is>
      </c>
      <c r="AH141" s="551" t="inlineStr">
        <is>
          <t>/</t>
        </is>
      </c>
      <c r="AI141" s="82">
        <f>DATEDIF(--TEXT(MID(AC141,7,8),"0-00-00"),TODAY(),"y")</f>
        <v/>
      </c>
      <c r="AJ141" s="548">
        <f>TEXT(MID(AC141,7,8),"0000-00-00")</f>
        <v/>
      </c>
      <c r="AK141" s="95">
        <f>CHOOSE(MONTH(AJ141),1,1,1,2,2,2,3,3,3,4,4,4)</f>
        <v/>
      </c>
    </row>
    <row r="142" customFormat="1" s="532">
      <c r="A142" s="82" t="n">
        <v>66</v>
      </c>
      <c r="B142" s="541" t="inlineStr">
        <is>
          <t>贾越程</t>
        </is>
      </c>
      <c r="C142" s="218" t="inlineStr">
        <is>
          <t>北京文石</t>
        </is>
      </c>
      <c r="D142" s="82" t="inlineStr">
        <is>
          <t>男</t>
        </is>
      </c>
      <c r="E142" s="532" t="n">
        <v>15000</v>
      </c>
      <c r="F142" s="218" t="inlineStr">
        <is>
          <t>工资12k/15K,签订半年合同，试用期1个月打8折。无其他补贴，无其他费用</t>
        </is>
      </c>
      <c r="G142" s="218" t="inlineStr">
        <is>
          <t>材料齐全
已回寄员工
续签长期合同的时候和璇璇说想要涨薪</t>
        </is>
      </c>
      <c r="H142" s="82" t="inlineStr">
        <is>
          <t>实车测试工程师（接待）</t>
        </is>
      </c>
      <c r="I142" s="533" t="n">
        <v>45726</v>
      </c>
      <c r="J142" s="533" t="inlineStr">
        <is>
          <t>/</t>
        </is>
      </c>
      <c r="K142" s="533" t="n">
        <v>45756</v>
      </c>
      <c r="L142" s="534" t="n">
        <v>45717</v>
      </c>
      <c r="M142" s="82" t="inlineStr">
        <is>
          <t>北京</t>
        </is>
      </c>
      <c r="N142" s="82" t="inlineStr">
        <is>
          <t>北京</t>
        </is>
      </c>
      <c r="O142" s="82" t="n">
        <v>12000</v>
      </c>
      <c r="P142" s="82" t="n">
        <v>15000</v>
      </c>
      <c r="Q142" s="532" t="n">
        <v>0</v>
      </c>
      <c r="R142" s="532" t="n">
        <v>0</v>
      </c>
      <c r="S142" s="532" t="n">
        <v>0</v>
      </c>
      <c r="T142" s="218" t="inlineStr">
        <is>
          <t>第一次合同：短期6个月
2025/3/10-2025/9/9</t>
        </is>
      </c>
      <c r="U142" s="82" t="inlineStr">
        <is>
          <t>1个月</t>
        </is>
      </c>
      <c r="V142" s="82" t="inlineStr">
        <is>
          <t>移动互联应用技术</t>
        </is>
      </c>
      <c r="W142" s="247" t="inlineStr">
        <is>
          <t>2022年07</t>
        </is>
      </c>
      <c r="X142" s="82" t="inlineStr">
        <is>
          <t>专科</t>
        </is>
      </c>
      <c r="Y142" s="238" t="inlineStr">
        <is>
          <t>16619923591@163.com</t>
        </is>
      </c>
      <c r="Z142" s="82" t="inlineStr">
        <is>
          <t>河北省保定市雄县龙湾镇葛各庄村4组023号</t>
        </is>
      </c>
      <c r="AA142" s="218" t="inlineStr">
        <is>
          <t>贾越程
16619923591
北京市北京市昌平区霍营小区6号楼3单元601</t>
        </is>
      </c>
      <c r="AB142" s="82" t="inlineStr">
        <is>
          <t>，16619923591</t>
        </is>
      </c>
      <c r="AC142" s="494" t="inlineStr">
        <is>
          <t>130638199907163011</t>
        </is>
      </c>
      <c r="AD142" s="494" t="inlineStr">
        <is>
          <t>6217000010124144257</t>
        </is>
      </c>
      <c r="AE142" s="82" t="inlineStr">
        <is>
          <t>中国建设银行</t>
        </is>
      </c>
      <c r="AF142" s="82" t="n"/>
      <c r="AG142" s="82" t="inlineStr">
        <is>
          <t>是</t>
        </is>
      </c>
      <c r="AH142" s="547" t="inlineStr">
        <is>
          <t xml:space="preserve">第一次合同：短期6个月：2025/3/10-2025/9/9
第二次合同：2025/9/10-短期结束，合同没写日期很好。
11月底合同到期？
沟通嚼文嚼字但是还行的，平时接待忙，请关注，贾越程2025/9/9短期合同结束
是否续签？续签延期使用3个月至25年11月底沟通OK，目前续签合同已签署完毕，贾越程延期到26年5月底，2025.12.29已签署延期协议OK。
项目上沟通预计是2025.11月底。继续用吗？
贾越程延期到26年5月底，2025.12.29已签署延期协议OK。
</t>
        </is>
      </c>
      <c r="AI142" s="82">
        <f>DATEDIF(--TEXT(MID(AC142,7,8),"0-00-00"),TODAY(),"y")</f>
        <v/>
      </c>
      <c r="AJ142" s="548">
        <f>TEXT(MID(AC142,7,8),"0000-00-00")</f>
        <v/>
      </c>
      <c r="AK142" s="95">
        <f>CHOOSE(MONTH(AJ142),1,1,1,2,2,2,3,3,3,4,4,4)</f>
        <v/>
      </c>
    </row>
    <row r="143" s="558">
      <c r="A143" s="82" t="n">
        <v>67</v>
      </c>
      <c r="B143" s="82" t="inlineStr">
        <is>
          <t>梁帅</t>
        </is>
      </c>
      <c r="C143" s="82" t="inlineStr">
        <is>
          <t>上海文石</t>
        </is>
      </c>
      <c r="D143" s="82" t="inlineStr">
        <is>
          <t>男</t>
        </is>
      </c>
      <c r="E143" s="532" t="n">
        <v>17000</v>
      </c>
      <c r="F143" s="218" t="inlineStr">
        <is>
          <t>工资：15.3K/17K
签三年合同，试用期6个月，前3个月打九折
到岗时间：2025年3月19日
没有其他补贴</t>
        </is>
      </c>
      <c r="G143" s="218" t="inlineStr">
        <is>
          <t>材料齐全
已回寄员工</t>
        </is>
      </c>
      <c r="H143" s="82" t="inlineStr">
        <is>
          <t>实车测试工程师</t>
        </is>
      </c>
      <c r="I143" s="533" t="n">
        <v>45735</v>
      </c>
      <c r="J143" s="248" t="inlineStr">
        <is>
          <t>/</t>
        </is>
      </c>
      <c r="K143" s="533" t="n">
        <v>45918</v>
      </c>
      <c r="L143" s="534" t="n">
        <v>45748</v>
      </c>
      <c r="M143" s="82" t="inlineStr">
        <is>
          <t>上海</t>
        </is>
      </c>
      <c r="N143" s="82" t="inlineStr">
        <is>
          <t>上海</t>
        </is>
      </c>
      <c r="O143" s="82" t="inlineStr">
        <is>
          <t>15.3K</t>
        </is>
      </c>
      <c r="P143" s="82" t="inlineStr">
        <is>
          <t>17K</t>
        </is>
      </c>
      <c r="Q143" s="532" t="n">
        <v>0</v>
      </c>
      <c r="R143" s="532" t="n">
        <v>0</v>
      </c>
      <c r="S143" s="532" t="n">
        <v>0</v>
      </c>
      <c r="T143" s="218" t="inlineStr">
        <is>
          <t>第一次合同：3年：
2025/3/19-2028/3/18</t>
        </is>
      </c>
      <c r="U143" s="82" t="inlineStr">
        <is>
          <t>6个月</t>
        </is>
      </c>
      <c r="V143" s="82" t="inlineStr">
        <is>
          <t>计算机应用技术</t>
        </is>
      </c>
      <c r="W143" s="82" t="inlineStr">
        <is>
          <t>2018年06</t>
        </is>
      </c>
      <c r="X143" s="82" t="inlineStr">
        <is>
          <t>本科</t>
        </is>
      </c>
      <c r="Y143" s="82" t="inlineStr">
        <is>
          <t>18252816636@163.com</t>
        </is>
      </c>
      <c r="Z143" s="82" t="inlineStr">
        <is>
          <t>湖南省永顺县灵溪镇金星村八组63号</t>
        </is>
      </c>
      <c r="AA143" s="218" t="inlineStr">
        <is>
          <t>梁浩轩
18252816636
江苏省苏州市昆山市花桥镇棕榈湾1栋801</t>
        </is>
      </c>
      <c r="AB143" s="82" t="inlineStr">
        <is>
          <t>‘18252816636</t>
        </is>
      </c>
      <c r="AC143" s="494" t="inlineStr">
        <is>
          <t>433127199507051413</t>
        </is>
      </c>
      <c r="AD143" s="494" t="inlineStr">
        <is>
          <t>6217001180088300929</t>
        </is>
      </c>
      <c r="AE143" s="82" t="inlineStr">
        <is>
          <t>中国建设银行</t>
        </is>
      </c>
      <c r="AF143" s="82" t="n"/>
      <c r="AG143" s="82" t="inlineStr">
        <is>
          <t>是</t>
        </is>
      </c>
      <c r="AH143" s="244" t="inlineStr">
        <is>
          <t>第一次合同：3年：2025/3/19-2028/3/18</t>
        </is>
      </c>
      <c r="AI143" s="82">
        <f>DATEDIF(--TEXT(MID(AC143,7,8),"0-00-00"),TODAY(),"y")</f>
        <v/>
      </c>
      <c r="AJ143" s="548">
        <f>TEXT(MID(AC143,7,8),"0000-00-00")</f>
        <v/>
      </c>
      <c r="AK143" s="95">
        <f>CHOOSE(MONTH(AJ143),1,1,1,2,2,2,3,3,3,4,4,4)</f>
        <v/>
      </c>
    </row>
    <row r="144" s="558">
      <c r="A144" s="82" t="n">
        <v>68</v>
      </c>
      <c r="B144" s="82" t="inlineStr">
        <is>
          <t>陈梦豪</t>
        </is>
      </c>
      <c r="C144" s="218" t="inlineStr">
        <is>
          <t>北京文石</t>
        </is>
      </c>
      <c r="D144" s="82" t="inlineStr">
        <is>
          <t>男</t>
        </is>
      </c>
      <c r="E144" s="532" t="n">
        <v>17000</v>
      </c>
      <c r="F144" s="218" t="inlineStr">
        <is>
          <t>工资：13.6K/17K
签三年合同  试用期6个月 前3个月打八折
到岗时间：2025年3月19日
没有其他别的补贴</t>
        </is>
      </c>
      <c r="G144" s="218" t="inlineStr">
        <is>
          <t>材料齐全
已回寄员工</t>
        </is>
      </c>
      <c r="H144" s="82" t="inlineStr">
        <is>
          <t>实车测试工程师</t>
        </is>
      </c>
      <c r="I144" s="533" t="n">
        <v>45735</v>
      </c>
      <c r="J144" s="248" t="inlineStr">
        <is>
          <t>/</t>
        </is>
      </c>
      <c r="K144" s="533" t="n">
        <v>45918</v>
      </c>
      <c r="L144" s="534" t="n">
        <v>45748</v>
      </c>
      <c r="M144" s="82" t="inlineStr">
        <is>
          <t>北京</t>
        </is>
      </c>
      <c r="N144" s="82" t="inlineStr">
        <is>
          <t>北京</t>
        </is>
      </c>
      <c r="O144" s="82" t="inlineStr">
        <is>
          <t>13.6K</t>
        </is>
      </c>
      <c r="P144" s="82" t="inlineStr">
        <is>
          <t>17K</t>
        </is>
      </c>
      <c r="Q144" s="532" t="n">
        <v>0</v>
      </c>
      <c r="R144" s="532" t="n">
        <v>0</v>
      </c>
      <c r="S144" s="532" t="n">
        <v>0</v>
      </c>
      <c r="T144" s="218" t="inlineStr">
        <is>
          <t>第一次合同：3年：
2025/3/19-2028/3/18</t>
        </is>
      </c>
      <c r="U144" s="82" t="inlineStr">
        <is>
          <t>6个月</t>
        </is>
      </c>
      <c r="V144" s="218" t="inlineStr">
        <is>
          <t>安全技术与管理
计算机科学与技术（网络教育）</t>
        </is>
      </c>
      <c r="W144" s="218" t="inlineStr">
        <is>
          <t>2021年06
2024年06</t>
        </is>
      </c>
      <c r="X144" s="218" t="inlineStr">
        <is>
          <t>大专
本科（非全日制）</t>
        </is>
      </c>
      <c r="Y144" s="238" t="inlineStr">
        <is>
          <t>c17613715525@163.com</t>
        </is>
      </c>
      <c r="Z144" s="82" t="inlineStr">
        <is>
          <t>河南省邓州市赵集镇竹李村西陈沟14号</t>
        </is>
      </c>
      <c r="AA144" s="218" t="inlineStr">
        <is>
          <t>陈梦豪
17613715525
北京市北京市昌平区沙河松兰堡村天赐福东210</t>
        </is>
      </c>
      <c r="AB144" s="82" t="inlineStr">
        <is>
          <t>‘17613715525</t>
        </is>
      </c>
      <c r="AC144" s="494" t="inlineStr">
        <is>
          <t>411381200202053038</t>
        </is>
      </c>
      <c r="AD144" s="494" t="inlineStr">
        <is>
          <t>6215340300007655880</t>
        </is>
      </c>
      <c r="AE144" s="82" t="inlineStr">
        <is>
          <t>中国建设银行</t>
        </is>
      </c>
      <c r="AF144" s="82" t="n"/>
      <c r="AG144" s="82" t="inlineStr">
        <is>
          <t>是</t>
        </is>
      </c>
      <c r="AH144" s="244" t="inlineStr">
        <is>
          <t>第一次合同：3年：2025/3/19-2028/3/18</t>
        </is>
      </c>
      <c r="AI144" s="82">
        <f>DATEDIF(--TEXT(MID(AC144,7,8),"0-00-00"),TODAY(),"y")</f>
        <v/>
      </c>
      <c r="AJ144" s="548">
        <f>TEXT(MID(AC144,7,8),"0000-00-00")</f>
        <v/>
      </c>
      <c r="AK144" s="95">
        <f>CHOOSE(MONTH(AJ144),1,1,1,2,2,2,3,3,3,4,4,4)</f>
        <v/>
      </c>
    </row>
    <row r="145" customFormat="1" s="549">
      <c r="A145" s="197" t="n">
        <v>77</v>
      </c>
      <c r="B145" s="206" t="inlineStr">
        <is>
          <t>韩雪飞
（2025.10.30已离职）</t>
        </is>
      </c>
      <c r="C145" s="206" t="inlineStr">
        <is>
          <t>今才</t>
        </is>
      </c>
      <c r="D145" s="197" t="inlineStr">
        <is>
          <t>男</t>
        </is>
      </c>
      <c r="E145" s="549" t="n">
        <v>14000</v>
      </c>
      <c r="F145" s="206" t="inlineStr">
        <is>
          <t>工资：14K
试用期不打折
目前项目已经确认续约到2025.10月</t>
        </is>
      </c>
      <c r="G145" s="549" t="inlineStr">
        <is>
          <t>材料齐全
已回寄员工
签短期项目制合同
其他补贴：如果工作3个月时项目结束会补贴给他1000元。6个月项目结束的话会补贴给他500元。</t>
        </is>
      </c>
      <c r="H145" s="197" t="inlineStr">
        <is>
          <t>React前端开发</t>
        </is>
      </c>
      <c r="I145" s="551" t="n">
        <v>45735</v>
      </c>
      <c r="J145" s="241" t="inlineStr">
        <is>
          <t>2025/10/30lastday
客户觉得能力一般就自动结束了
考勤无异常、无报销、无剩余调休假，12月5日会发剩余薪资及入职前沟通的补贴1000元。结算加7天释放。整体闭环了</t>
        </is>
      </c>
      <c r="K145" s="533" t="inlineStr">
        <is>
          <t>短期3个月/6个月</t>
        </is>
      </c>
      <c r="L145" s="553" t="n">
        <v>45748</v>
      </c>
      <c r="M145" s="197" t="inlineStr">
        <is>
          <t>北京</t>
        </is>
      </c>
      <c r="N145" s="197" t="inlineStr">
        <is>
          <t>北京</t>
        </is>
      </c>
      <c r="O145" s="230" t="inlineStr">
        <is>
          <t>14K</t>
        </is>
      </c>
      <c r="P145" s="230" t="inlineStr">
        <is>
          <t>14K</t>
        </is>
      </c>
      <c r="Q145" s="532" t="n">
        <v>0</v>
      </c>
      <c r="R145" s="532" t="n">
        <v>0</v>
      </c>
      <c r="S145" s="532" t="n">
        <v>0</v>
      </c>
      <c r="T145" s="206" t="inlineStr">
        <is>
          <t>第一次合同：项目制合同
2025/3/19-2025.9/18</t>
        </is>
      </c>
      <c r="U145" s="197" t="inlineStr">
        <is>
          <t>/</t>
        </is>
      </c>
      <c r="V145" s="197" t="inlineStr">
        <is>
          <t>计算机科学与技术</t>
        </is>
      </c>
      <c r="W145" s="197" t="inlineStr">
        <is>
          <t>2020年06</t>
        </is>
      </c>
      <c r="X145" s="197" t="inlineStr">
        <is>
          <t>本科</t>
        </is>
      </c>
      <c r="Y145" s="249" t="inlineStr">
        <is>
          <t>m13031998966@163.com</t>
        </is>
      </c>
      <c r="Z145" s="197" t="inlineStr">
        <is>
          <t>河北省邯郸市永年区小龙马乡大张村三区34号</t>
        </is>
      </c>
      <c r="AA145" s="197" t="inlineStr">
        <is>
          <t>韩雪飞
13031998966
北京市北京市丰台区富卓苑一号楼四单元503</t>
        </is>
      </c>
      <c r="AB145" s="197" t="inlineStr">
        <is>
          <t>‘13031998966</t>
        </is>
      </c>
      <c r="AC145" s="491" t="inlineStr">
        <is>
          <t>130429200305035256</t>
        </is>
      </c>
      <c r="AD145" s="491" t="inlineStr">
        <is>
          <t>6217000010201338822</t>
        </is>
      </c>
      <c r="AE145" s="197" t="inlineStr">
        <is>
          <t>中国建设银行</t>
        </is>
      </c>
      <c r="AF145" s="197" t="n"/>
      <c r="AG145" s="197" t="inlineStr">
        <is>
          <t>否</t>
        </is>
      </c>
      <c r="AH145" s="206" t="inlineStr">
        <is>
          <t>第一次合同：短期
2025/3/19-2025/6/18三个月/2025/9/18六个月
合同签署的是2025/3/19-短期结束，写的很宽泛很好
请关注，项目制合同安全的~
目前项目已经确认续约到2025.9月沟通OK无需续签合同。25年9月后再看吧
韩雪飞2025年8月通知合同续签到25年12月底，员工已沟通没问题，就不发电子签了</t>
        </is>
      </c>
      <c r="AI145" s="82">
        <f>DATEDIF(--TEXT(MID(AC145,7,8),"0-00-00"),TODAY(),"y")</f>
        <v/>
      </c>
      <c r="AJ145" s="548">
        <f>TEXT(MID(AC145,7,8),"0000-00-00")</f>
        <v/>
      </c>
      <c r="AK145" s="95">
        <f>CHOOSE(MONTH(AJ145),1,1,1,2,2,2,3,3,3,4,4,4)</f>
        <v/>
      </c>
      <c r="AL145" s="197" t="n"/>
      <c r="AM145" s="197" t="n"/>
      <c r="AN145" s="197" t="n"/>
      <c r="AO145" s="197" t="n"/>
      <c r="AP145" s="197" t="n"/>
      <c r="AQ145" s="197" t="n"/>
      <c r="AR145" s="197" t="n"/>
      <c r="AS145" s="197" t="n"/>
      <c r="AT145" s="197" t="n"/>
      <c r="AU145" s="197" t="n"/>
      <c r="AV145" s="197" t="n"/>
      <c r="AW145" s="197" t="n"/>
    </row>
    <row r="146" customFormat="1" s="532">
      <c r="A146" s="82" t="n">
        <v>69</v>
      </c>
      <c r="B146" s="82" t="inlineStr">
        <is>
          <t>余盛世</t>
        </is>
      </c>
      <c r="C146" s="82" t="inlineStr">
        <is>
          <t>上海文石</t>
        </is>
      </c>
      <c r="D146" s="82" t="inlineStr">
        <is>
          <t>男</t>
        </is>
      </c>
      <c r="E146" s="532" t="n">
        <v>14000</v>
      </c>
      <c r="F146" s="218" t="inlineStr">
        <is>
          <t>工资14k，签订一年合同，试用期2个月，2个月打8折。无其他补贴，无其他费用</t>
        </is>
      </c>
      <c r="G146" s="218" t="inlineStr">
        <is>
          <t>材料齐全
已回寄员工
（预计项目今年十二月份结束，候选人不知情）</t>
        </is>
      </c>
      <c r="H146" s="82" t="inlineStr">
        <is>
          <t>智能驾驶整车改装工程师</t>
        </is>
      </c>
      <c r="I146" s="533" t="n">
        <v>45740</v>
      </c>
      <c r="J146" s="248" t="inlineStr">
        <is>
          <t>/</t>
        </is>
      </c>
      <c r="K146" s="533" t="n">
        <v>45800</v>
      </c>
      <c r="L146" s="534" t="n">
        <v>45748</v>
      </c>
      <c r="M146" s="82" t="inlineStr">
        <is>
          <t>上海</t>
        </is>
      </c>
      <c r="N146" s="82" t="inlineStr">
        <is>
          <t>上海张江汽车基地</t>
        </is>
      </c>
      <c r="O146" s="82" t="n">
        <v>11200</v>
      </c>
      <c r="P146" s="82" t="n">
        <v>14000</v>
      </c>
      <c r="Q146" s="532" t="n">
        <v>0</v>
      </c>
      <c r="R146" s="532" t="n">
        <v>0</v>
      </c>
      <c r="S146" s="532" t="n">
        <v>0</v>
      </c>
      <c r="T146" s="218" t="inlineStr">
        <is>
          <t>第一次合同：1年：
2025/3/24-2026/3/23</t>
        </is>
      </c>
      <c r="U146" s="82" t="inlineStr">
        <is>
          <t>2个月</t>
        </is>
      </c>
      <c r="V146" s="82" t="inlineStr">
        <is>
          <t>计算机应用与维修</t>
        </is>
      </c>
      <c r="W146" s="250" t="n">
        <v>43617</v>
      </c>
      <c r="X146" s="82" t="inlineStr">
        <is>
          <t>技校</t>
        </is>
      </c>
      <c r="Y146" s="82" t="inlineStr">
        <is>
          <t>1434125686@qq.com</t>
        </is>
      </c>
      <c r="Z146" s="82" t="inlineStr">
        <is>
          <t>湖北省英山县温泉镇蛇龙尖村一组</t>
        </is>
      </c>
      <c r="AA146" s="218" t="inlineStr">
        <is>
          <t>余盛世
13222970920
上海市上海市浦东新区张江镇上海张江汽车基地(法拉第路258弄6号楼)</t>
        </is>
      </c>
      <c r="AB146" s="82" t="inlineStr">
        <is>
          <t>，13222970920</t>
        </is>
      </c>
      <c r="AC146" s="494" t="inlineStr">
        <is>
          <t>42112420000807201X</t>
        </is>
      </c>
      <c r="AD146" s="494" t="inlineStr">
        <is>
          <t>6217001180088763720</t>
        </is>
      </c>
      <c r="AE146" s="82" t="inlineStr">
        <is>
          <t>中国建设银行</t>
        </is>
      </c>
      <c r="AF146" s="82" t="n"/>
      <c r="AG146" s="82" t="inlineStr">
        <is>
          <t>是</t>
        </is>
      </c>
      <c r="AH146" s="240" t="inlineStr">
        <is>
          <t>第一次合同：1年：2025/3/24-2026/3/23
第二次合同：3年：【续签3年】上海-余盛世20260324-20290323签署完成最新合同</t>
        </is>
      </c>
      <c r="AI146" s="82">
        <f>DATEDIF(--TEXT(MID(AC146,7,8),"0-00-00"),TODAY(),"y")</f>
        <v/>
      </c>
      <c r="AJ146" s="548">
        <f>TEXT(MID(AC146,7,8),"0000-00-00")</f>
        <v/>
      </c>
      <c r="AK146" s="95">
        <f>CHOOSE(MONTH(AJ146),1,1,1,2,2,2,3,3,3,4,4,4)</f>
        <v/>
      </c>
      <c r="AL146" s="82" t="n"/>
      <c r="AM146" s="82" t="n"/>
      <c r="AN146" s="82" t="n"/>
      <c r="AO146" s="82" t="n"/>
      <c r="AP146" s="82" t="n"/>
      <c r="AQ146" s="82" t="n"/>
      <c r="AR146" s="82" t="n"/>
      <c r="AS146" s="82" t="n"/>
      <c r="AT146" s="82" t="n"/>
      <c r="AU146" s="82" t="n"/>
      <c r="AV146" s="82" t="n"/>
      <c r="AW146" s="82" t="n"/>
    </row>
    <row r="147" customFormat="1" s="549">
      <c r="A147" s="197" t="n">
        <v>145</v>
      </c>
      <c r="B147" s="206" t="inlineStr">
        <is>
          <t>谢栋
（2025.3.26已离职）</t>
        </is>
      </c>
      <c r="C147" s="206" t="inlineStr">
        <is>
          <t>/</t>
        </is>
      </c>
      <c r="D147" s="197" t="inlineStr">
        <is>
          <t>男</t>
        </is>
      </c>
      <c r="E147" s="549" t="n">
        <v>13500</v>
      </c>
      <c r="F147" s="206" t="inlineStr">
        <is>
          <t>工资13.5K,签订半年合同，试用期1个月打8折。无其他补贴，无其他费用，不要2天工资了，也不结算了</t>
        </is>
      </c>
      <c r="G147" s="549" t="inlineStr">
        <is>
          <t>不要工资了</t>
        </is>
      </c>
      <c r="H147" s="197" t="inlineStr">
        <is>
          <t>实车测试工程师（接待）</t>
        </is>
      </c>
      <c r="I147" s="551" t="n">
        <v>45740</v>
      </c>
      <c r="J147" s="241" t="inlineStr">
        <is>
          <t>/</t>
        </is>
      </c>
      <c r="K147" s="533" t="n">
        <v>45770</v>
      </c>
      <c r="L147" s="553" t="n">
        <v>45748</v>
      </c>
      <c r="M147" s="197" t="inlineStr">
        <is>
          <t>上海</t>
        </is>
      </c>
      <c r="N147" s="197" t="inlineStr">
        <is>
          <t>上海张江汽车基地</t>
        </is>
      </c>
      <c r="O147" s="230" t="n">
        <v>10800</v>
      </c>
      <c r="P147" s="230" t="n">
        <v>13500</v>
      </c>
      <c r="Q147" s="532" t="n">
        <v>0</v>
      </c>
      <c r="R147" s="532" t="n">
        <v>0</v>
      </c>
      <c r="S147" s="532" t="n">
        <v>0</v>
      </c>
      <c r="T147" s="206" t="inlineStr">
        <is>
          <t>第一次合同：6个月
2025/3/24-2025/3/26</t>
        </is>
      </c>
      <c r="U147" s="197" t="inlineStr">
        <is>
          <t>1个月</t>
        </is>
      </c>
      <c r="V147" s="197" t="inlineStr">
        <is>
          <t>/</t>
        </is>
      </c>
      <c r="W147" s="197" t="inlineStr">
        <is>
          <t>/</t>
        </is>
      </c>
      <c r="X147" s="197" t="inlineStr">
        <is>
          <t>/</t>
        </is>
      </c>
      <c r="Y147" s="249" t="inlineStr">
        <is>
          <t>2644514826@qq.com</t>
        </is>
      </c>
      <c r="Z147" s="197" t="inlineStr">
        <is>
          <t>/</t>
        </is>
      </c>
      <c r="AA147" s="197" t="inlineStr">
        <is>
          <t>/</t>
        </is>
      </c>
      <c r="AB147" s="197" t="inlineStr">
        <is>
          <t>，15000582807</t>
        </is>
      </c>
      <c r="AC147" s="491" t="inlineStr">
        <is>
          <t>360123199901112716</t>
        </is>
      </c>
      <c r="AD147" s="197" t="inlineStr">
        <is>
          <t>/</t>
        </is>
      </c>
      <c r="AE147" s="197" t="inlineStr">
        <is>
          <t>/</t>
        </is>
      </c>
      <c r="AF147" s="197" t="n"/>
      <c r="AG147" s="197" t="inlineStr">
        <is>
          <t>否</t>
        </is>
      </c>
      <c r="AH147" s="197" t="inlineStr">
        <is>
          <t>离职啦</t>
        </is>
      </c>
      <c r="AI147" s="82">
        <f>DATEDIF(--TEXT(MID(AC147,7,8),"0-00-00"),TODAY(),"y")</f>
        <v/>
      </c>
      <c r="AJ147" s="548">
        <f>TEXT(MID(AC147,7,8),"0000-00-00")</f>
        <v/>
      </c>
      <c r="AK147" s="95">
        <f>CHOOSE(MONTH(AJ147),1,1,1,2,2,2,3,3,3,4,4,4)</f>
        <v/>
      </c>
      <c r="AL147" s="197" t="n"/>
      <c r="AM147" s="197" t="n"/>
      <c r="AN147" s="197" t="n"/>
      <c r="AO147" s="197" t="n"/>
      <c r="AP147" s="197" t="n"/>
      <c r="AQ147" s="197" t="n"/>
      <c r="AR147" s="197" t="n"/>
      <c r="AS147" s="197" t="n"/>
      <c r="AT147" s="197" t="n"/>
      <c r="AU147" s="197" t="n"/>
      <c r="AV147" s="197" t="n"/>
      <c r="AW147" s="197" t="n"/>
    </row>
    <row r="148" s="558">
      <c r="A148" s="82" t="n">
        <v>70</v>
      </c>
      <c r="B148" s="82" t="inlineStr">
        <is>
          <t>刘四海</t>
        </is>
      </c>
      <c r="C148" s="218" t="inlineStr">
        <is>
          <t>北京文石</t>
        </is>
      </c>
      <c r="D148" s="82" t="inlineStr">
        <is>
          <t>男</t>
        </is>
      </c>
      <c r="E148" s="532" t="n">
        <v>15000</v>
      </c>
      <c r="F148" s="218" t="inlineStr">
        <is>
          <t>工资15K,签订3年合同，试用期6个月，前3个月打8折。无其他补贴，无其他费用</t>
        </is>
      </c>
      <c r="G148" s="218" t="inlineStr">
        <is>
          <t>材料齐全
已回寄员工</t>
        </is>
      </c>
      <c r="H148" s="82" t="inlineStr">
        <is>
          <t>实车测试工程师</t>
        </is>
      </c>
      <c r="I148" s="533" t="n">
        <v>45742</v>
      </c>
      <c r="J148" s="244" t="inlineStr">
        <is>
          <t>/</t>
        </is>
      </c>
      <c r="K148" s="533" t="n">
        <v>45925</v>
      </c>
      <c r="L148" s="534" t="n">
        <v>45748</v>
      </c>
      <c r="M148" s="82" t="inlineStr">
        <is>
          <t>北京</t>
        </is>
      </c>
      <c r="N148" s="82" t="inlineStr">
        <is>
          <t>北京</t>
        </is>
      </c>
      <c r="O148" s="82" t="n">
        <v>12000</v>
      </c>
      <c r="P148" s="82" t="n">
        <v>15000</v>
      </c>
      <c r="Q148" s="532" t="n">
        <v>0</v>
      </c>
      <c r="R148" s="532" t="n">
        <v>0</v>
      </c>
      <c r="S148" s="532" t="n">
        <v>0</v>
      </c>
      <c r="T148" s="218" t="inlineStr">
        <is>
          <t>第一次合同：3年：
2025/3/26-2028/3/25</t>
        </is>
      </c>
      <c r="U148" s="82" t="inlineStr">
        <is>
          <t>6个月</t>
        </is>
      </c>
      <c r="V148" s="82" t="inlineStr">
        <is>
          <t>电子商务</t>
        </is>
      </c>
      <c r="W148" s="82" t="inlineStr">
        <is>
          <t>2017年07</t>
        </is>
      </c>
      <c r="X148" s="82" t="inlineStr">
        <is>
          <t>专科</t>
        </is>
      </c>
      <c r="Y148" s="82" t="inlineStr">
        <is>
          <t>823619379@qq.com</t>
        </is>
      </c>
      <c r="Z148" s="82" t="inlineStr">
        <is>
          <t>河南省新蔡县砖店镇三空桥村油坊庄</t>
        </is>
      </c>
      <c r="AA148" s="218" t="inlineStr">
        <is>
          <t>刘四海
18500322969
北京市北京市朝阳区小红门成寿寺B口一建宿舍508</t>
        </is>
      </c>
      <c r="AB148" s="82" t="inlineStr">
        <is>
          <t>；18500322969</t>
        </is>
      </c>
      <c r="AC148" s="494" t="inlineStr">
        <is>
          <t>412828198909264855</t>
        </is>
      </c>
      <c r="AD148" s="494" t="inlineStr">
        <is>
          <t>6217000010201182709</t>
        </is>
      </c>
      <c r="AE148" s="82" t="inlineStr">
        <is>
          <t>中国建设银行</t>
        </is>
      </c>
      <c r="AF148" s="82" t="n"/>
      <c r="AG148" s="82" t="inlineStr">
        <is>
          <t>是</t>
        </is>
      </c>
      <c r="AH148" s="244" t="inlineStr">
        <is>
          <t>第一次合同：3年：2025/3/26-2028/3/25</t>
        </is>
      </c>
      <c r="AI148" s="82">
        <f>DATEDIF(--TEXT(MID(AC148,7,8),"0-00-00"),TODAY(),"y")</f>
        <v/>
      </c>
      <c r="AJ148" s="548">
        <f>TEXT(MID(AC148,7,8),"0000-00-00")</f>
        <v/>
      </c>
      <c r="AK148" s="95">
        <f>CHOOSE(MONTH(AJ148),1,1,1,2,2,2,3,3,3,4,4,4)</f>
        <v/>
      </c>
      <c r="AL148" s="82" t="n"/>
      <c r="AM148" s="82" t="n"/>
      <c r="AN148" s="82" t="n"/>
      <c r="AO148" s="82" t="n"/>
      <c r="AP148" s="82" t="n"/>
      <c r="AQ148" s="82" t="n"/>
      <c r="AR148" s="82" t="n"/>
      <c r="AS148" s="82" t="n"/>
      <c r="AT148" s="82" t="n"/>
      <c r="AU148" s="82" t="n"/>
      <c r="AV148" s="82" t="n"/>
      <c r="AW148" s="82" t="n"/>
    </row>
    <row r="149" customFormat="1" s="532">
      <c r="A149" s="82" t="n">
        <v>71</v>
      </c>
      <c r="B149" s="541" t="inlineStr">
        <is>
          <t>刘崇</t>
        </is>
      </c>
      <c r="C149" s="541" t="inlineStr">
        <is>
          <t>邦芒</t>
        </is>
      </c>
      <c r="D149" s="82" t="inlineStr">
        <is>
          <t>男</t>
        </is>
      </c>
      <c r="E149" s="532" t="n">
        <v>10000</v>
      </c>
      <c r="F149" s="218" t="inlineStr">
        <is>
          <t>工资10k，签订三年合同，试用期6个月，前3个月打8折。无其他补贴，无其他费用</t>
        </is>
      </c>
      <c r="G149" s="218" t="inlineStr">
        <is>
          <t>材料齐全
已回寄员工
2025.3.26签合同日期，结算发薪是3.10日开始算
实际签订1年合同，搞错了，已联系员工重签3年合同并要回之前一年合同OK闭环-第一次合同：3年:2025/3/10-2028/3/25
已签署3年合同并收回之前的一年合同
完美</t>
        </is>
      </c>
      <c r="H149" s="82" t="inlineStr">
        <is>
          <t>智能驾驶整车改装工程师</t>
        </is>
      </c>
      <c r="I149" s="533" t="n">
        <v>45726</v>
      </c>
      <c r="J149" s="244" t="inlineStr">
        <is>
          <t>/</t>
        </is>
      </c>
      <c r="K149" s="533" t="n">
        <v>45909</v>
      </c>
      <c r="L149" s="534" t="n">
        <v>45748</v>
      </c>
      <c r="M149" s="82" t="inlineStr">
        <is>
          <t>上海</t>
        </is>
      </c>
      <c r="N149" s="82" t="inlineStr">
        <is>
          <t>上海张江汽车基地</t>
        </is>
      </c>
      <c r="O149" s="82" t="n">
        <v>8000</v>
      </c>
      <c r="P149" s="82" t="n">
        <v>10000</v>
      </c>
      <c r="Q149" s="532" t="n">
        <v>0</v>
      </c>
      <c r="R149" s="532" t="n">
        <v>0</v>
      </c>
      <c r="S149" s="532" t="n">
        <v>0</v>
      </c>
      <c r="T149" s="218" t="inlineStr">
        <is>
          <t>第一次合同：3年:
2025/3/10-2028/3/25</t>
        </is>
      </c>
      <c r="U149" s="82" t="inlineStr">
        <is>
          <t>6个月</t>
        </is>
      </c>
      <c r="V149" s="82" t="inlineStr">
        <is>
          <t>汽车检测与维修技术</t>
        </is>
      </c>
      <c r="W149" s="82" t="inlineStr">
        <is>
          <t>2019年07</t>
        </is>
      </c>
      <c r="X149" s="82" t="inlineStr">
        <is>
          <t>专科</t>
        </is>
      </c>
      <c r="Y149" s="223" t="inlineStr">
        <is>
          <t>3112664502@qq.com</t>
        </is>
      </c>
      <c r="Z149" s="82" t="inlineStr">
        <is>
          <t>河南省内乡县夏馆镇吴岗村全坡680号</t>
        </is>
      </c>
      <c r="AA149" s="82" t="inlineStr">
        <is>
          <t>上海市浦东新区张江镇法拉第路258弄6号楼</t>
        </is>
      </c>
      <c r="AB149" s="82" t="inlineStr">
        <is>
          <t>，18539440868</t>
        </is>
      </c>
      <c r="AC149" s="494" t="inlineStr">
        <is>
          <t>411327199801163112</t>
        </is>
      </c>
      <c r="AD149" s="494" t="inlineStr">
        <is>
          <t>6212842590350066939</t>
        </is>
      </c>
      <c r="AE149" s="82" t="inlineStr">
        <is>
          <t>中国建设银行</t>
        </is>
      </c>
      <c r="AF149" s="82" t="n"/>
      <c r="AG149" s="82" t="inlineStr">
        <is>
          <t>是</t>
        </is>
      </c>
      <c r="AH149" s="240" t="inlineStr">
        <is>
          <t>第一次合同：3年:2025/3/10-2028/3/25</t>
        </is>
      </c>
      <c r="AI149" s="82">
        <f>DATEDIF(--TEXT(MID(AC149,7,8),"0-00-00"),TODAY(),"y")</f>
        <v/>
      </c>
      <c r="AJ149" s="548">
        <f>TEXT(MID(AC149,7,8),"0000-00-00")</f>
        <v/>
      </c>
      <c r="AK149" s="95">
        <f>CHOOSE(MONTH(AJ149),1,1,1,2,2,2,3,3,3,4,4,4)</f>
        <v/>
      </c>
      <c r="AL149" s="82" t="n"/>
      <c r="AM149" s="82" t="n"/>
      <c r="AN149" s="82" t="n"/>
      <c r="AO149" s="82" t="n"/>
      <c r="AP149" s="82" t="n"/>
      <c r="AQ149" s="82" t="n"/>
      <c r="AR149" s="82" t="n"/>
      <c r="AS149" s="82" t="n"/>
      <c r="AT149" s="82" t="n"/>
      <c r="AU149" s="82" t="n"/>
      <c r="AV149" s="82" t="n"/>
      <c r="AW149" s="82" t="n"/>
    </row>
    <row r="150" customFormat="1" s="549">
      <c r="A150" s="197" t="n">
        <v>148</v>
      </c>
      <c r="B150" s="206" t="inlineStr">
        <is>
          <t>汤慧基
（润和的，不是地平线）
2025年4月30日已离职</t>
        </is>
      </c>
      <c r="C150" s="206" t="inlineStr">
        <is>
          <t>/</t>
        </is>
      </c>
      <c r="D150" s="197" t="inlineStr">
        <is>
          <t>男</t>
        </is>
      </c>
      <c r="E150" s="549" t="n">
        <v>8200</v>
      </c>
      <c r="F150" s="206" t="inlineStr">
        <is>
          <t>工资8.2K（含200元电脑补贴）,签订2个月合同，不打折，缴纳杭州五险一金
如果项目2个月结束补贴600</t>
        </is>
      </c>
      <c r="G150" s="206" t="inlineStr">
        <is>
          <t>材料齐全
已回寄员工</t>
        </is>
      </c>
      <c r="H150" s="197" t="inlineStr">
        <is>
          <t>测试工程师</t>
        </is>
      </c>
      <c r="I150" s="551" t="n">
        <v>45747</v>
      </c>
      <c r="J150" s="206" t="inlineStr">
        <is>
          <t>2025年4月30日lastday，补辞退补偿2000元属于协商一致离职
离职证明已发送</t>
        </is>
      </c>
      <c r="K150" s="533" t="inlineStr">
        <is>
          <t xml:space="preserve">
短期二个月支撑</t>
        </is>
      </c>
      <c r="L150" s="553" t="n">
        <v>45748</v>
      </c>
      <c r="M150" s="197" t="inlineStr">
        <is>
          <t>杭州</t>
        </is>
      </c>
      <c r="N150" s="206" t="inlineStr">
        <is>
          <t>杭州滨江区阿里园区</t>
        </is>
      </c>
      <c r="O150" s="230" t="inlineStr">
        <is>
          <t>不打折</t>
        </is>
      </c>
      <c r="P150" s="230" t="n">
        <v>8200</v>
      </c>
      <c r="Q150" s="532" t="n">
        <v>0</v>
      </c>
      <c r="R150" s="532" t="n">
        <v>0</v>
      </c>
      <c r="S150" s="532" t="n">
        <v>0</v>
      </c>
      <c r="T150" s="206" t="inlineStr">
        <is>
          <t>第一次合同：短期2个月
项目制2025/3/31-2025/5/30</t>
        </is>
      </c>
      <c r="U150" s="197" t="inlineStr">
        <is>
          <t>0个月</t>
        </is>
      </c>
      <c r="V150" s="197" t="inlineStr">
        <is>
          <t>通信技术（移动终端开发）</t>
        </is>
      </c>
      <c r="W150" s="197" t="inlineStr">
        <is>
          <t>2022年07</t>
        </is>
      </c>
      <c r="X150" s="197" t="inlineStr">
        <is>
          <t>专科</t>
        </is>
      </c>
      <c r="Y150" s="224" t="inlineStr">
        <is>
          <t>18625742481@163.com</t>
        </is>
      </c>
      <c r="Z150" s="197" t="inlineStr">
        <is>
          <t>河南省商水县邓城镇后史村四组</t>
        </is>
      </c>
      <c r="AA150" s="206" t="inlineStr">
        <is>
          <t>汤慧基
18625742481
浙江省杭州市余杭区仓前街道梦创街昌源清苑7幢一单元</t>
        </is>
      </c>
      <c r="AB150" s="197" t="inlineStr">
        <is>
          <t>，18625742481</t>
        </is>
      </c>
      <c r="AC150" s="491" t="inlineStr">
        <is>
          <t>412723200204091619</t>
        </is>
      </c>
      <c r="AD150" s="491" t="inlineStr">
        <is>
          <t>6217002510008369704</t>
        </is>
      </c>
      <c r="AE150" s="197" t="inlineStr">
        <is>
          <t>中国建设银行</t>
        </is>
      </c>
      <c r="AF150" s="197" t="n"/>
      <c r="AG150" s="197" t="inlineStr">
        <is>
          <t>否</t>
        </is>
      </c>
      <c r="AH150" s="197" t="inlineStr">
        <is>
          <t>离职啦</t>
        </is>
      </c>
      <c r="AI150" s="82">
        <f>DATEDIF(--TEXT(MID(AC150,7,8),"0-00-00"),TODAY(),"y")</f>
        <v/>
      </c>
      <c r="AJ150" s="548">
        <f>TEXT(MID(AC150,7,8),"0000-00-00")</f>
        <v/>
      </c>
      <c r="AK150" s="95">
        <f>CHOOSE(MONTH(AJ150),1,1,1,2,2,2,3,3,3,4,4,4)</f>
        <v/>
      </c>
      <c r="AL150" s="197" t="n"/>
      <c r="AM150" s="197" t="n"/>
      <c r="AN150" s="197" t="n"/>
      <c r="AO150" s="197" t="n"/>
      <c r="AP150" s="197" t="n"/>
      <c r="AQ150" s="197" t="n"/>
      <c r="AR150" s="197" t="n"/>
      <c r="AS150" s="197" t="n"/>
      <c r="AT150" s="197" t="n"/>
      <c r="AU150" s="197" t="n"/>
      <c r="AV150" s="197" t="n"/>
      <c r="AW150" s="197" t="n"/>
    </row>
    <row r="151" s="558">
      <c r="A151" s="82" t="n">
        <v>72</v>
      </c>
      <c r="B151" s="218" t="inlineStr">
        <is>
          <t>万志斌
2026/5/28协商离职赔偿2万</t>
        </is>
      </c>
      <c r="C151" s="82" t="inlineStr">
        <is>
          <t>南京文石</t>
        </is>
      </c>
      <c r="D151" s="82" t="inlineStr">
        <is>
          <t>男</t>
        </is>
      </c>
      <c r="E151" s="532" t="n">
        <v>16000</v>
      </c>
      <c r="F151" s="218" t="inlineStr">
        <is>
          <t>工资：12.8K/16K
签三年合同 试用期6个月，前3个月打八折
到岗时间：2025年4月14日
没有别的补贴</t>
        </is>
      </c>
      <c r="G151" s="218" t="inlineStr">
        <is>
          <t>材料齐全
已回寄员工</t>
        </is>
      </c>
      <c r="H151" s="218" t="inlineStr">
        <is>
          <t>自动驾驶测试开发工程师
（软件方向）</t>
        </is>
      </c>
      <c r="I151" s="533" t="n">
        <v>45761</v>
      </c>
      <c r="J151" s="251" t="inlineStr">
        <is>
          <t>2026/5/28协商离职赔偿2万，绩效差。
lastday2026.5.28,离职交接已完成~
创达和文石争取到了结算到2026年6月18号
1、6.5正常发放4.25-5.24薪资+20000元赔偿
2、5.25-5.28正常上班打卡，考勤正常，7.5审核发放4天薪资
3、5.4已提交手头上所有报销费用，将在6月中下旬审核发放
4、无调休数据，有1天年假申请1:1折现</t>
        </is>
      </c>
      <c r="K151" s="533" t="n">
        <v>45943</v>
      </c>
      <c r="L151" s="534" t="n">
        <v>45778</v>
      </c>
      <c r="M151" s="82" t="inlineStr">
        <is>
          <t>南京</t>
        </is>
      </c>
      <c r="N151" s="82" t="inlineStr">
        <is>
          <t>南京</t>
        </is>
      </c>
      <c r="O151" s="82" t="inlineStr">
        <is>
          <t>12.8K</t>
        </is>
      </c>
      <c r="P151" s="82" t="inlineStr">
        <is>
          <t>16K</t>
        </is>
      </c>
      <c r="Q151" s="532" t="n">
        <v>0</v>
      </c>
      <c r="R151" s="532" t="n">
        <v>0</v>
      </c>
      <c r="S151" s="532" t="n">
        <v>0</v>
      </c>
      <c r="T151" s="218" t="inlineStr">
        <is>
          <t>第一次合同：3年：
2025/4/14-2028/4/13</t>
        </is>
      </c>
      <c r="U151" s="82" t="inlineStr">
        <is>
          <t>6个月</t>
        </is>
      </c>
      <c r="V151" s="82" t="inlineStr">
        <is>
          <t>计算机网络技术</t>
        </is>
      </c>
      <c r="W151" s="82" t="inlineStr">
        <is>
          <t>2013年06</t>
        </is>
      </c>
      <c r="X151" s="82" t="inlineStr">
        <is>
          <t>大专</t>
        </is>
      </c>
      <c r="Y151" s="82" t="inlineStr">
        <is>
          <t>18557538761@163.com</t>
        </is>
      </c>
      <c r="Z151" s="82" t="inlineStr">
        <is>
          <t>江西省南昌市进贤县三里乡曹门村委会北坑村009号</t>
        </is>
      </c>
      <c r="AA151" s="82" t="inlineStr">
        <is>
          <t>江西省南昌市进贤县三里乡曹门村委会北坑村009号</t>
        </is>
      </c>
      <c r="AB151" s="82" t="inlineStr">
        <is>
          <t>‘13023648129</t>
        </is>
      </c>
      <c r="AC151" s="494" t="inlineStr">
        <is>
          <t>360124199008132112</t>
        </is>
      </c>
      <c r="AD151" s="494" t="inlineStr">
        <is>
          <t>6236681540013559112</t>
        </is>
      </c>
      <c r="AE151" s="82" t="inlineStr">
        <is>
          <t>中国建设银行</t>
        </is>
      </c>
      <c r="AF151" s="82" t="n"/>
      <c r="AG151" s="82" t="inlineStr">
        <is>
          <t>是</t>
        </is>
      </c>
      <c r="AH151" s="244" t="inlineStr">
        <is>
          <t>第一次合同：3年：2025/4/14-2028/4/13</t>
        </is>
      </c>
      <c r="AI151" s="82">
        <f>DATEDIF(--TEXT(MID(AC151,7,8),"0-00-00"),TODAY(),"y")</f>
        <v/>
      </c>
      <c r="AJ151" s="548">
        <f>TEXT(MID(AC151,7,8),"0000-00-00")</f>
        <v/>
      </c>
      <c r="AK151" s="95">
        <f>CHOOSE(MONTH(AJ151),1,1,1,2,2,2,3,3,3,4,4,4)</f>
        <v/>
      </c>
      <c r="AL151" s="82" t="n"/>
      <c r="AM151" s="82" t="n"/>
      <c r="AN151" s="82" t="n"/>
      <c r="AO151" s="82" t="n"/>
      <c r="AP151" s="82" t="n"/>
      <c r="AQ151" s="82" t="n"/>
      <c r="AR151" s="82" t="n"/>
      <c r="AS151" s="82" t="n"/>
      <c r="AT151" s="82" t="n"/>
      <c r="AU151" s="82" t="n"/>
      <c r="AV151" s="82" t="n"/>
      <c r="AW151" s="82" t="n"/>
      <c r="AX151" s="82" t="n"/>
      <c r="AY151" s="82" t="n"/>
      <c r="AZ151" s="82" t="n"/>
      <c r="BA151" s="82" t="n"/>
      <c r="BB151" s="82" t="n"/>
      <c r="BC151" s="82" t="n"/>
      <c r="BD151" s="82" t="n"/>
      <c r="BE151" s="82" t="n"/>
      <c r="BF151" s="82" t="n"/>
      <c r="BG151" s="82" t="n"/>
      <c r="BH151" s="82" t="n"/>
      <c r="BI151" s="82" t="n"/>
      <c r="BJ151" s="82" t="n"/>
      <c r="BK151" s="82" t="n"/>
      <c r="BL151" s="82" t="n"/>
      <c r="BM151" s="82" t="n"/>
      <c r="BN151" s="82" t="n"/>
      <c r="BO151" s="82" t="n"/>
      <c r="BP151" s="82" t="n"/>
      <c r="BQ151" s="82" t="n"/>
      <c r="BR151" s="82" t="n"/>
      <c r="BS151" s="82" t="n"/>
      <c r="BT151" s="82" t="n"/>
      <c r="BU151" s="82" t="n"/>
      <c r="BV151" s="82" t="n"/>
      <c r="BW151" s="82" t="n"/>
      <c r="BX151" s="82" t="n"/>
      <c r="BY151" s="82" t="n"/>
      <c r="BZ151" s="82" t="n"/>
      <c r="CA151" s="82" t="n"/>
      <c r="CB151" s="82" t="n"/>
      <c r="CC151" s="82" t="n"/>
      <c r="CD151" s="82" t="n"/>
      <c r="CE151" s="82" t="n"/>
      <c r="CF151" s="82" t="n"/>
      <c r="CG151" s="82" t="n"/>
      <c r="CH151" s="82" t="n"/>
      <c r="CI151" s="82" t="n"/>
      <c r="CJ151" s="82" t="n"/>
      <c r="CK151" s="82" t="n"/>
      <c r="CL151" s="82" t="n"/>
      <c r="CM151" s="82" t="n"/>
      <c r="CN151" s="82" t="n"/>
      <c r="CO151" s="82" t="n"/>
      <c r="CP151" s="82" t="n"/>
    </row>
    <row r="152" customFormat="1" s="549">
      <c r="A152" s="197" t="n">
        <v>150</v>
      </c>
      <c r="B152" s="206" t="inlineStr">
        <is>
          <t>张涛涛
（实际没入职）</t>
        </is>
      </c>
      <c r="C152" s="206" t="inlineStr">
        <is>
          <t>/</t>
        </is>
      </c>
      <c r="D152" s="197" t="inlineStr">
        <is>
          <t>男</t>
        </is>
      </c>
      <c r="E152" s="549" t="inlineStr">
        <is>
          <t>/</t>
        </is>
      </c>
      <c r="F152" s="206" t="inlineStr">
        <is>
          <t>工资：13K，签订3年合同，试用期6个月，前2个月打8折,第3个月9折。
前2个月薪资：10.4K，第三个月薪资：11.7K
到岗时间：2025年4月16日，无补贴</t>
        </is>
      </c>
      <c r="G152" s="206" t="inlineStr">
        <is>
          <t>材料已准备
取消入职</t>
        </is>
      </c>
      <c r="H152" s="197" t="inlineStr">
        <is>
          <t>运维工程师</t>
        </is>
      </c>
      <c r="I152" s="551" t="n">
        <v>45763</v>
      </c>
      <c r="J152" s="252" t="inlineStr">
        <is>
          <t>放弃入职</t>
        </is>
      </c>
      <c r="K152" s="533" t="n">
        <v>45945</v>
      </c>
      <c r="L152" s="553" t="inlineStr">
        <is>
          <t>/</t>
        </is>
      </c>
      <c r="M152" s="197" t="inlineStr">
        <is>
          <t>上海</t>
        </is>
      </c>
      <c r="N152" s="197" t="inlineStr">
        <is>
          <t>上海</t>
        </is>
      </c>
      <c r="O152" s="228" t="inlineStr">
        <is>
          <t>前2个月：10.4K
第3个月：11.7K</t>
        </is>
      </c>
      <c r="P152" s="230" t="inlineStr">
        <is>
          <t>13K</t>
        </is>
      </c>
      <c r="Q152" s="532" t="n">
        <v>0</v>
      </c>
      <c r="R152" s="532" t="n">
        <v>0</v>
      </c>
      <c r="S152" s="532" t="n">
        <v>0</v>
      </c>
      <c r="T152" s="197" t="inlineStr">
        <is>
          <t>/</t>
        </is>
      </c>
      <c r="U152" s="197" t="inlineStr">
        <is>
          <t>6个月</t>
        </is>
      </c>
      <c r="V152" s="197" t="inlineStr">
        <is>
          <t>电子与信息</t>
        </is>
      </c>
      <c r="W152" s="197" t="inlineStr">
        <is>
          <t>2023年06</t>
        </is>
      </c>
      <c r="X152" s="197" t="inlineStr">
        <is>
          <t>非全日制大专</t>
        </is>
      </c>
      <c r="Y152" s="197" t="inlineStr">
        <is>
          <t>1941279991@qq.com</t>
        </is>
      </c>
      <c r="Z152" s="197" t="inlineStr">
        <is>
          <t>/</t>
        </is>
      </c>
      <c r="AA152" s="197" t="inlineStr">
        <is>
          <t>甘肃省平凉市崆峒区草峰镇长沟村西面社42号</t>
        </is>
      </c>
      <c r="AB152" s="197" t="inlineStr">
        <is>
          <t>‘17625743193</t>
        </is>
      </c>
      <c r="AC152" s="491" t="inlineStr">
        <is>
          <t>622701199709133218</t>
        </is>
      </c>
      <c r="AD152" s="197" t="inlineStr">
        <is>
          <t>/</t>
        </is>
      </c>
      <c r="AE152" s="197" t="inlineStr">
        <is>
          <t>/</t>
        </is>
      </c>
      <c r="AF152" s="197" t="n"/>
      <c r="AG152" s="197" t="inlineStr">
        <is>
          <t>否</t>
        </is>
      </c>
      <c r="AH152" s="197" t="inlineStr">
        <is>
          <t>/</t>
        </is>
      </c>
      <c r="AI152" s="82">
        <f>DATEDIF(--TEXT(MID(AC152,7,8),"0-00-00"),TODAY(),"y")</f>
        <v/>
      </c>
      <c r="AJ152" s="548">
        <f>TEXT(MID(AC152,7,8),"0000-00-00")</f>
        <v/>
      </c>
      <c r="AK152" s="95">
        <f>CHOOSE(MONTH(AJ152),1,1,1,2,2,2,3,3,3,4,4,4)</f>
        <v/>
      </c>
      <c r="AL152" s="197" t="n"/>
      <c r="AM152" s="197" t="n"/>
      <c r="AN152" s="197" t="n"/>
      <c r="AO152" s="197" t="n"/>
      <c r="AP152" s="197" t="n"/>
      <c r="AQ152" s="197" t="n"/>
      <c r="AR152" s="197" t="n"/>
      <c r="AS152" s="197" t="n"/>
      <c r="AT152" s="197" t="n"/>
      <c r="AU152" s="197" t="n"/>
      <c r="AV152" s="197" t="n"/>
      <c r="AW152" s="197" t="n"/>
      <c r="AX152" s="197" t="n"/>
      <c r="AY152" s="197" t="n"/>
      <c r="AZ152" s="197" t="n"/>
      <c r="BA152" s="197" t="n"/>
      <c r="BB152" s="197" t="n"/>
      <c r="BC152" s="197" t="n"/>
      <c r="BD152" s="197" t="n"/>
      <c r="BE152" s="197" t="n"/>
      <c r="BF152" s="197" t="n"/>
      <c r="BG152" s="197" t="n"/>
      <c r="BH152" s="197" t="n"/>
      <c r="BI152" s="197" t="n"/>
      <c r="BJ152" s="197" t="n"/>
      <c r="BK152" s="197" t="n"/>
      <c r="BL152" s="197" t="n"/>
      <c r="BM152" s="197" t="n"/>
      <c r="BN152" s="197" t="n"/>
      <c r="BO152" s="197" t="n"/>
      <c r="BP152" s="197" t="n"/>
      <c r="BQ152" s="197" t="n"/>
      <c r="BR152" s="197" t="n"/>
      <c r="BS152" s="197" t="n"/>
      <c r="BT152" s="197" t="n"/>
      <c r="BU152" s="197" t="n"/>
      <c r="BV152" s="197" t="n"/>
      <c r="BW152" s="197" t="n"/>
      <c r="BX152" s="197" t="n"/>
      <c r="BY152" s="197" t="n"/>
      <c r="BZ152" s="197" t="n"/>
      <c r="CA152" s="197" t="n"/>
      <c r="CB152" s="197" t="n"/>
      <c r="CC152" s="197" t="n"/>
      <c r="CD152" s="197" t="n"/>
      <c r="CE152" s="197" t="n"/>
      <c r="CF152" s="197" t="n"/>
      <c r="CG152" s="197" t="n"/>
      <c r="CH152" s="197" t="n"/>
      <c r="CI152" s="197" t="n"/>
      <c r="CJ152" s="197" t="n"/>
      <c r="CK152" s="197" t="n"/>
      <c r="CL152" s="197" t="n"/>
      <c r="CM152" s="197" t="n"/>
      <c r="CN152" s="197" t="n"/>
      <c r="CO152" s="197" t="n"/>
      <c r="CP152" s="197" t="n"/>
    </row>
    <row r="153" customFormat="1" s="579">
      <c r="A153" s="255" t="n">
        <v>73</v>
      </c>
      <c r="B153" s="254" t="inlineStr">
        <is>
          <t>吴升发
2026.4.24文石lastday协商离职</t>
        </is>
      </c>
      <c r="C153" s="254" t="inlineStr">
        <is>
          <t>邦芒</t>
        </is>
      </c>
      <c r="D153" s="255" t="inlineStr">
        <is>
          <t>男</t>
        </is>
      </c>
      <c r="E153" s="579" t="n">
        <v>16000</v>
      </c>
      <c r="F153" s="254" t="inlineStr">
        <is>
          <t>工资：16K
第一个月薪资：12.8K, 第2、3个月薪资：14.4K
签订三年合同，试用期6个月，
第1个月打8折,第2、3个月9折。
到岗时间：2025年4月16日
没有别的补贴</t>
        </is>
      </c>
      <c r="G153" s="254" t="inlineStr">
        <is>
          <t>材料齐全
已回寄员工
文石结算到2026年4月30日
（正常入职）不需要打卡</t>
        </is>
      </c>
      <c r="H153" s="255" t="inlineStr">
        <is>
          <t>智能驾驶整车改装工程师</t>
        </is>
      </c>
      <c r="I153" s="580" t="n">
        <v>45763</v>
      </c>
      <c r="J153" s="206" t="inlineStr">
        <is>
          <t>2026/4/17因为性骚扰女同事从项目上lastday，地平线是结算到2026年4月30号月底。目前项目上已经交接完毕，但是还没发文石的离职申请，也不知道有无赔偿，20260506已确认吴升发剩余调休72天，目前安排员工待岗调休中,
2026/4/17项目上是lastday性骚扰闹赔偿最终文石是2026.4.24离职，赔偿N,已签署三方协议</t>
        </is>
      </c>
      <c r="K153" s="580" t="n">
        <v>45945</v>
      </c>
      <c r="L153" s="581" t="n">
        <v>45778</v>
      </c>
      <c r="M153" s="255" t="inlineStr">
        <is>
          <t>上海</t>
        </is>
      </c>
      <c r="N153" s="255" t="inlineStr">
        <is>
          <t>上海</t>
        </is>
      </c>
      <c r="O153" s="254" t="inlineStr">
        <is>
          <t>第一个月薪资：12.8K, 
第2、3个月薪资：14.4K</t>
        </is>
      </c>
      <c r="P153" s="255" t="inlineStr">
        <is>
          <t>16K</t>
        </is>
      </c>
      <c r="Q153" s="579" t="n">
        <v>0</v>
      </c>
      <c r="R153" s="579" t="n">
        <v>0</v>
      </c>
      <c r="S153" s="579" t="n">
        <v>0</v>
      </c>
      <c r="T153" s="254" t="inlineStr">
        <is>
          <t>第一次合同：3年：
2025/4/16-2028/4/15</t>
        </is>
      </c>
      <c r="U153" s="255" t="inlineStr">
        <is>
          <t>6个月</t>
        </is>
      </c>
      <c r="V153" s="254" t="inlineStr">
        <is>
          <t>车辆工程
工商企业管理</t>
        </is>
      </c>
      <c r="W153" s="254" t="inlineStr">
        <is>
          <t>2005年06
2023年06</t>
        </is>
      </c>
      <c r="X153" s="254" t="inlineStr">
        <is>
          <t>中专
非全日制大专</t>
        </is>
      </c>
      <c r="Y153" s="255" t="inlineStr">
        <is>
          <t>shengfa9869@qq.com</t>
        </is>
      </c>
      <c r="Z153" s="255" t="inlineStr">
        <is>
          <t>海口市龙华区龙泉镇道斌村42号</t>
        </is>
      </c>
      <c r="AA153" s="255" t="inlineStr">
        <is>
          <t>上海市浦东新区盛夏路1107弄1-121号（玉兰香苑三期113号</t>
        </is>
      </c>
      <c r="AB153" s="254" t="inlineStr">
        <is>
          <t>‘19868668517
换手机了18976088693</t>
        </is>
      </c>
      <c r="AC153" s="495" t="inlineStr">
        <is>
          <t>460004198508213611</t>
        </is>
      </c>
      <c r="AD153" s="495" t="inlineStr">
        <is>
          <t>6217003520009011121</t>
        </is>
      </c>
      <c r="AE153" s="255" t="inlineStr">
        <is>
          <t>中国建设银行</t>
        </is>
      </c>
      <c r="AF153" s="255" t="n"/>
      <c r="AG153" s="255" t="inlineStr">
        <is>
          <t>是</t>
        </is>
      </c>
      <c r="AH153" s="258" t="inlineStr">
        <is>
          <t>第一次合同：3年：2025/4/16-2028/4/15确定3年</t>
        </is>
      </c>
      <c r="AI153" s="255">
        <f>DATEDIF(--TEXT(MID(AC153,7,8),"0-00-00"),TODAY(),"y")</f>
        <v/>
      </c>
      <c r="AJ153" s="582">
        <f>TEXT(MID(AC153,7,8),"0000-00-00")</f>
        <v/>
      </c>
      <c r="AK153" s="260">
        <f>CHOOSE(MONTH(AJ153),1,1,1,2,2,2,3,3,3,4,4,4)</f>
        <v/>
      </c>
      <c r="AL153" s="255" t="n"/>
      <c r="AM153" s="255" t="n"/>
      <c r="AN153" s="255" t="n"/>
      <c r="AO153" s="255" t="n"/>
      <c r="AP153" s="255" t="n"/>
      <c r="AQ153" s="255" t="n"/>
      <c r="AR153" s="255" t="n"/>
      <c r="AS153" s="255" t="n"/>
      <c r="AT153" s="255" t="n"/>
      <c r="AU153" s="255" t="n"/>
      <c r="AV153" s="255" t="n"/>
      <c r="AW153" s="255" t="n"/>
      <c r="AX153" s="255" t="n"/>
      <c r="AY153" s="255" t="n"/>
      <c r="AZ153" s="255" t="n"/>
      <c r="BA153" s="255" t="n"/>
      <c r="BB153" s="255" t="n"/>
      <c r="BC153" s="255" t="n"/>
      <c r="BD153" s="255" t="n"/>
      <c r="BE153" s="255" t="n"/>
      <c r="BF153" s="255" t="n"/>
      <c r="BG153" s="255" t="n"/>
      <c r="BH153" s="255" t="n"/>
      <c r="BI153" s="255" t="n"/>
      <c r="BJ153" s="255" t="n"/>
      <c r="BK153" s="255" t="n"/>
      <c r="BL153" s="255" t="n"/>
      <c r="BM153" s="255" t="n"/>
      <c r="BN153" s="255" t="n"/>
      <c r="BO153" s="255" t="n"/>
      <c r="BP153" s="255" t="n"/>
      <c r="BQ153" s="255" t="n"/>
      <c r="BR153" s="255" t="n"/>
      <c r="BS153" s="255" t="n"/>
      <c r="BT153" s="255" t="n"/>
      <c r="BU153" s="255" t="n"/>
      <c r="BV153" s="255" t="n"/>
      <c r="BW153" s="255" t="n"/>
      <c r="BX153" s="255" t="n"/>
      <c r="BY153" s="255" t="n"/>
      <c r="BZ153" s="255" t="n"/>
      <c r="CA153" s="255" t="n"/>
      <c r="CB153" s="255" t="n"/>
      <c r="CC153" s="255" t="n"/>
      <c r="CD153" s="255" t="n"/>
      <c r="CE153" s="255" t="n"/>
      <c r="CF153" s="255" t="n"/>
      <c r="CG153" s="255" t="n"/>
      <c r="CH153" s="255" t="n"/>
      <c r="CI153" s="255" t="n"/>
      <c r="CJ153" s="255" t="n"/>
      <c r="CK153" s="255" t="n"/>
      <c r="CL153" s="255" t="n"/>
      <c r="CM153" s="255" t="n"/>
      <c r="CN153" s="255" t="n"/>
      <c r="CO153" s="255" t="n"/>
      <c r="CP153" s="255" t="n"/>
    </row>
    <row r="154" customFormat="1" s="82">
      <c r="A154" s="82" t="n">
        <v>74</v>
      </c>
      <c r="B154" s="82" t="inlineStr">
        <is>
          <t>赵亮</t>
        </is>
      </c>
      <c r="C154" s="218" t="inlineStr">
        <is>
          <t xml:space="preserve">上海文石
2026年5月已经申请并转移完成到南京-至此南京文石合同+南京文石五险一金
</t>
        </is>
      </c>
      <c r="D154" s="82" t="inlineStr">
        <is>
          <t>男</t>
        </is>
      </c>
      <c r="E154" s="82" t="n">
        <v>15000</v>
      </c>
      <c r="F154" s="218" t="inlineStr">
        <is>
          <t>工资：15K(五险一金还是最低档缴纳)，签订3年合同，试用期6个月，不打折。无其他补贴，无其他费用</t>
        </is>
      </c>
      <c r="G154" s="541" t="inlineStr">
        <is>
          <t>材料齐全
已回寄员工</t>
        </is>
      </c>
      <c r="H154" s="218" t="inlineStr">
        <is>
          <t xml:space="preserve">自动驾驶集成测试工程师
</t>
        </is>
      </c>
      <c r="I154" s="533" t="n">
        <v>45768</v>
      </c>
      <c r="J154" s="248" t="inlineStr">
        <is>
          <t>/</t>
        </is>
      </c>
      <c r="K154" s="533" t="n">
        <v>45950</v>
      </c>
      <c r="L154" s="534" t="n">
        <v>45778</v>
      </c>
      <c r="M154" s="82" t="inlineStr">
        <is>
          <t>上海</t>
        </is>
      </c>
      <c r="N154" s="82" t="inlineStr">
        <is>
          <t>上海张江汽车基地</t>
        </is>
      </c>
      <c r="O154" s="82" t="inlineStr">
        <is>
          <t>不打折</t>
        </is>
      </c>
      <c r="P154" s="82" t="n">
        <v>15000</v>
      </c>
      <c r="Q154" s="532" t="n">
        <v>0</v>
      </c>
      <c r="R154" s="532" t="n">
        <v>0</v>
      </c>
      <c r="S154" s="532" t="n">
        <v>0</v>
      </c>
      <c r="T154" s="218" t="inlineStr">
        <is>
          <t>第一次合同：3年：
2025/4/21-2028/4/20</t>
        </is>
      </c>
      <c r="U154" s="82" t="inlineStr">
        <is>
          <t>6个月</t>
        </is>
      </c>
      <c r="V154" s="82" t="inlineStr">
        <is>
          <t>计算机科学与技术</t>
        </is>
      </c>
      <c r="W154" s="218" t="inlineStr">
        <is>
          <t>2018年09
2022年06</t>
        </is>
      </c>
      <c r="X154" s="82" t="inlineStr">
        <is>
          <t>本科</t>
        </is>
      </c>
      <c r="Y154" s="223" t="inlineStr">
        <is>
          <t>2403047309@qq.com</t>
        </is>
      </c>
      <c r="Z154" s="82" t="inlineStr">
        <is>
          <t>安徽省明光市泊岗乡安全村8组349号</t>
        </is>
      </c>
      <c r="AA154" s="218" t="inlineStr">
        <is>
          <t>赵亮
18226830371
上海市上海市青浦区蟠龙路666虹桥国展美居酒店
2026年5月申请转移到南京，南京地址：南京市栖霞区翠林山庄</t>
        </is>
      </c>
      <c r="AB154" s="82" t="inlineStr">
        <is>
          <t>，18226830371</t>
        </is>
      </c>
      <c r="AC154" s="494" t="inlineStr">
        <is>
          <t xml:space="preserve">341182200305084635 </t>
        </is>
      </c>
      <c r="AD154" s="494" t="inlineStr">
        <is>
          <t>6217001180089070570</t>
        </is>
      </c>
      <c r="AE154" s="82" t="inlineStr">
        <is>
          <t>中国建设银行</t>
        </is>
      </c>
      <c r="AF154" s="82" t="n"/>
      <c r="AG154" s="82" t="inlineStr">
        <is>
          <t>是</t>
        </is>
      </c>
      <c r="AH154" s="244" t="inlineStr">
        <is>
          <t>第一次合同：3年：2025/4/21-2028/4/20</t>
        </is>
      </c>
      <c r="AI154" s="82">
        <f>DATEDIF(--TEXT(MID(AC154,7,8),"0-00-00"),TODAY(),"y")</f>
        <v/>
      </c>
      <c r="AJ154" s="548">
        <f>TEXT(MID(AC154,7,8),"0000-00-00")</f>
        <v/>
      </c>
      <c r="AK154" s="95">
        <f>CHOOSE(MONTH(AJ154),1,1,1,2,2,2,3,3,3,4,4,4)</f>
        <v/>
      </c>
    </row>
    <row r="155" customFormat="1" s="197">
      <c r="A155" s="197" t="n">
        <v>153</v>
      </c>
      <c r="B155" s="206" t="inlineStr">
        <is>
          <t>陈新玮
（放弃入职）</t>
        </is>
      </c>
      <c r="C155" s="206" t="inlineStr">
        <is>
          <t>/</t>
        </is>
      </c>
      <c r="D155" s="197" t="inlineStr">
        <is>
          <t>男</t>
        </is>
      </c>
      <c r="E155" s="197" t="inlineStr">
        <is>
          <t>/</t>
        </is>
      </c>
      <c r="F155" s="206" t="inlineStr">
        <is>
          <t>工资：13K，签订3年合同，试用期6个月，前3个月打8折。无其他补贴，无其他费用</t>
        </is>
      </c>
      <c r="G155" s="197" t="inlineStr">
        <is>
          <t>/</t>
        </is>
      </c>
      <c r="H155" s="197" t="inlineStr">
        <is>
          <t>车辆运维工程师</t>
        </is>
      </c>
      <c r="I155" s="551" t="n">
        <v>45770</v>
      </c>
      <c r="J155" s="252" t="inlineStr">
        <is>
          <t>放弃入职</t>
        </is>
      </c>
      <c r="K155" s="533" t="inlineStr">
        <is>
          <t>/</t>
        </is>
      </c>
      <c r="L155" s="553" t="inlineStr">
        <is>
          <t>/</t>
        </is>
      </c>
      <c r="M155" s="197" t="inlineStr">
        <is>
          <t>上海</t>
        </is>
      </c>
      <c r="N155" s="197" t="inlineStr">
        <is>
          <t>上海张江汽车基地</t>
        </is>
      </c>
      <c r="O155" s="230" t="n">
        <v>10400</v>
      </c>
      <c r="P155" s="230" t="n">
        <v>13000</v>
      </c>
      <c r="Q155" s="532" t="n">
        <v>0</v>
      </c>
      <c r="R155" s="532" t="n">
        <v>0</v>
      </c>
      <c r="S155" s="532" t="n">
        <v>0</v>
      </c>
      <c r="T155" s="197" t="inlineStr">
        <is>
          <t>/</t>
        </is>
      </c>
      <c r="U155" s="197" t="inlineStr">
        <is>
          <t>/</t>
        </is>
      </c>
      <c r="V155" s="197" t="inlineStr">
        <is>
          <t>/</t>
        </is>
      </c>
      <c r="W155" s="197" t="inlineStr">
        <is>
          <t>/</t>
        </is>
      </c>
      <c r="X155" s="197" t="inlineStr">
        <is>
          <t>/</t>
        </is>
      </c>
      <c r="Y155" s="224" t="inlineStr">
        <is>
          <t>1252615577@qq.com</t>
        </is>
      </c>
      <c r="Z155" s="197" t="inlineStr">
        <is>
          <t>/</t>
        </is>
      </c>
      <c r="AA155" s="197" t="inlineStr">
        <is>
          <t>/</t>
        </is>
      </c>
      <c r="AB155" s="197" t="inlineStr">
        <is>
          <t>，16621659576</t>
        </is>
      </c>
      <c r="AC155" s="491" t="inlineStr">
        <is>
          <t>320623199212013018</t>
        </is>
      </c>
      <c r="AD155" s="197" t="inlineStr">
        <is>
          <t>/</t>
        </is>
      </c>
      <c r="AE155" s="197" t="inlineStr">
        <is>
          <t>/</t>
        </is>
      </c>
      <c r="AF155" s="197" t="n"/>
      <c r="AG155" s="197" t="inlineStr">
        <is>
          <t>/</t>
        </is>
      </c>
      <c r="AH155" s="197" t="inlineStr">
        <is>
          <t>/</t>
        </is>
      </c>
      <c r="AI155" s="82">
        <f>DATEDIF(--TEXT(MID(AC155,7,8),"0-00-00"),TODAY(),"y")</f>
        <v/>
      </c>
      <c r="AJ155" s="548">
        <f>TEXT(MID(AC155,7,8),"0000-00-00")</f>
        <v/>
      </c>
      <c r="AK155" s="95">
        <f>CHOOSE(MONTH(AJ155),1,1,1,2,2,2,3,3,3,4,4,4)</f>
        <v/>
      </c>
    </row>
    <row r="156" customFormat="1" s="549">
      <c r="A156" s="197" t="n">
        <v>154</v>
      </c>
      <c r="B156" s="206" t="inlineStr">
        <is>
          <t>刘济源
（2025/5/8已离职）</t>
        </is>
      </c>
      <c r="C156" s="206" t="inlineStr">
        <is>
          <t>/</t>
        </is>
      </c>
      <c r="D156" s="197" t="inlineStr">
        <is>
          <t>男</t>
        </is>
      </c>
      <c r="E156" s="549" t="n">
        <v>13200</v>
      </c>
      <c r="F156" s="206" t="inlineStr">
        <is>
          <t>工资：10.56K/13.2K
签三年合同，试用期6个月 签3个月打八折
到岗时间：2025年5月7日
没有别的补贴</t>
        </is>
      </c>
      <c r="G156" s="206" t="inlineStr">
        <is>
          <t>材料无需准备
2025/5/7入职
2025/5/8离职</t>
        </is>
      </c>
      <c r="H156" s="197" t="inlineStr">
        <is>
          <t>数采队长</t>
        </is>
      </c>
      <c r="I156" s="551" t="n">
        <v>45784</v>
      </c>
      <c r="J156" s="261" t="inlineStr">
        <is>
          <t>2025/5/7入职
2025/5/8主动离职</t>
        </is>
      </c>
      <c r="K156" s="533" t="n">
        <v>45967</v>
      </c>
      <c r="L156" s="553" t="inlineStr">
        <is>
          <t>/</t>
        </is>
      </c>
      <c r="M156" s="197" t="inlineStr">
        <is>
          <t>北京</t>
        </is>
      </c>
      <c r="N156" s="197" t="inlineStr">
        <is>
          <t>北京</t>
        </is>
      </c>
      <c r="O156" s="230" t="inlineStr">
        <is>
          <t>10.56K</t>
        </is>
      </c>
      <c r="P156" s="230" t="inlineStr">
        <is>
          <t>13.2K</t>
        </is>
      </c>
      <c r="Q156" s="532" t="n">
        <v>0</v>
      </c>
      <c r="R156" s="532" t="n">
        <v>0</v>
      </c>
      <c r="S156" s="532" t="n">
        <v>0</v>
      </c>
      <c r="T156" s="197" t="inlineStr">
        <is>
          <t>/</t>
        </is>
      </c>
      <c r="U156" s="197" t="inlineStr">
        <is>
          <t>6个月</t>
        </is>
      </c>
      <c r="V156" s="197" t="inlineStr">
        <is>
          <t>建筑设计技术</t>
        </is>
      </c>
      <c r="W156" s="197" t="inlineStr">
        <is>
          <t>2015年06</t>
        </is>
      </c>
      <c r="X156" s="197" t="inlineStr">
        <is>
          <t>大专</t>
        </is>
      </c>
      <c r="Y156" s="197" t="inlineStr">
        <is>
          <t>787235797@qq.com</t>
        </is>
      </c>
      <c r="Z156" s="197" t="inlineStr">
        <is>
          <t>/</t>
        </is>
      </c>
      <c r="AA156" s="197" t="inlineStr">
        <is>
          <t>河北省三河市金谷大街嘉都小区43号楼1单元1003室</t>
        </is>
      </c>
      <c r="AB156" s="197" t="inlineStr">
        <is>
          <t>‘18701351753</t>
        </is>
      </c>
      <c r="AC156" s="491" t="inlineStr">
        <is>
          <t>131182199301186015</t>
        </is>
      </c>
      <c r="AD156" s="197" t="inlineStr">
        <is>
          <t>/</t>
        </is>
      </c>
      <c r="AE156" s="197" t="inlineStr">
        <is>
          <t>/</t>
        </is>
      </c>
      <c r="AF156" s="197" t="n"/>
      <c r="AG156" s="197" t="inlineStr">
        <is>
          <t>/</t>
        </is>
      </c>
      <c r="AH156" s="197" t="inlineStr">
        <is>
          <t>/</t>
        </is>
      </c>
      <c r="AI156" s="82">
        <f>DATEDIF(--TEXT(MID(AC156,7,8),"0-00-00"),TODAY(),"y")</f>
        <v/>
      </c>
      <c r="AJ156" s="548">
        <f>TEXT(MID(AC156,7,8),"0000-00-00")</f>
        <v/>
      </c>
      <c r="AK156" s="95">
        <f>CHOOSE(MONTH(AJ156),1,1,1,2,2,2,3,3,3,4,4,4)</f>
        <v/>
      </c>
    </row>
    <row r="157" s="558">
      <c r="A157" s="82" t="n">
        <v>75</v>
      </c>
      <c r="B157" s="532" t="inlineStr">
        <is>
          <t>黄泽睿</t>
        </is>
      </c>
      <c r="C157" s="218" t="inlineStr">
        <is>
          <t>北京文石</t>
        </is>
      </c>
      <c r="D157" s="532" t="inlineStr">
        <is>
          <t>男</t>
        </is>
      </c>
      <c r="E157" s="532" t="n">
        <v>16500</v>
      </c>
      <c r="F157" s="541" t="inlineStr">
        <is>
          <t>工资:试用期13.7k。转正16.5k
【14K固定薪资 ，打折扣税五险都在里面1900+600都是补贴=固定补贴2500】
签订三年合同，试用期6个月，前3个月在14k基础上打8折。缴纳北京五险一金。
开始社保补贴，即转正：基本工资  2420 元/月，绩效工资 5790 元/月，外派津贴  5790  元/月,社保公积金补贴  2500  元/月，合计  16500  元/月。</t>
        </is>
      </c>
      <c r="G157" s="541" t="inlineStr">
        <is>
          <t>材料齐全
已回寄员工
开始签署社保补贴书-社保公积金补贴  2500  元/月</t>
        </is>
      </c>
      <c r="H157" s="532" t="inlineStr">
        <is>
          <t>自动驾驶集成测试工程师</t>
        </is>
      </c>
      <c r="I157" s="533" t="n">
        <v>45789</v>
      </c>
      <c r="J157" s="533" t="inlineStr">
        <is>
          <t>/</t>
        </is>
      </c>
      <c r="K157" s="533" t="n">
        <v>45972</v>
      </c>
      <c r="L157" s="534" t="n">
        <v>45778</v>
      </c>
      <c r="M157" s="532" t="inlineStr">
        <is>
          <t>北京</t>
        </is>
      </c>
      <c r="N157" s="532" t="inlineStr">
        <is>
          <t>北京</t>
        </is>
      </c>
      <c r="O157" s="541" t="inlineStr">
        <is>
          <t>11200+
2500</t>
        </is>
      </c>
      <c r="P157" s="532" t="n">
        <v>16500</v>
      </c>
      <c r="Q157" s="532" t="n">
        <v>0</v>
      </c>
      <c r="R157" s="532" t="n">
        <v>0</v>
      </c>
      <c r="S157" s="532" t="n">
        <v>0</v>
      </c>
      <c r="T157" s="218" t="inlineStr">
        <is>
          <t>第一次合同：3年：
2025/5/12-2028/5/14</t>
        </is>
      </c>
      <c r="U157" s="82" t="inlineStr">
        <is>
          <t>6个月</t>
        </is>
      </c>
      <c r="V157" s="532" t="inlineStr">
        <is>
          <t>金融管理</t>
        </is>
      </c>
      <c r="W157" s="82" t="inlineStr">
        <is>
          <t>2021年06</t>
        </is>
      </c>
      <c r="X157" s="532" t="inlineStr">
        <is>
          <t>大专</t>
        </is>
      </c>
      <c r="Y157" s="545" t="inlineStr">
        <is>
          <t>huangzeruijack@163.com</t>
        </is>
      </c>
      <c r="Z157" s="532" t="inlineStr">
        <is>
          <t>河南省固始县蓼城街道办事处麻纺路34号</t>
        </is>
      </c>
      <c r="AA157" s="541" t="inlineStr">
        <is>
          <t xml:space="preserve">居住地：北京昌平北家镇东沙各庄村222号
联系地：北京市海淀区丰豪东路9号院IC-Park2A楼地平线5层收发室
  北京市昌平区北七家镇东沙各庄村222号 </t>
        </is>
      </c>
      <c r="AB157" s="82" t="n">
        <v>17630909327</v>
      </c>
      <c r="AC157" s="546" t="inlineStr">
        <is>
          <t>413026200004046954</t>
        </is>
      </c>
      <c r="AD157" s="494" t="inlineStr">
        <is>
          <t>6217000010202940626</t>
        </is>
      </c>
      <c r="AE157" s="82" t="inlineStr">
        <is>
          <t>中国建设银行</t>
        </is>
      </c>
      <c r="AG157" s="532" t="inlineStr">
        <is>
          <t>是</t>
        </is>
      </c>
      <c r="AH157" s="533" t="inlineStr">
        <is>
          <t>第一次合同：3年：2025/5/12-2028/5/14</t>
        </is>
      </c>
      <c r="AI157" s="82">
        <f>DATEDIF(--TEXT(MID(AC157,7,8),"0-00-00"),TODAY(),"y")</f>
        <v/>
      </c>
      <c r="AJ157" s="548">
        <f>TEXT(MID(AC157,7,8),"0000-00-00")</f>
        <v/>
      </c>
      <c r="AK157" s="95">
        <f>CHOOSE(MONTH(AJ157),1,1,1,2,2,2,3,3,3,4,4,4)</f>
        <v/>
      </c>
    </row>
    <row r="158" s="558">
      <c r="A158" s="82" t="n">
        <v>76</v>
      </c>
      <c r="B158" s="82" t="inlineStr">
        <is>
          <t>张维忠</t>
        </is>
      </c>
      <c r="C158" s="82" t="inlineStr">
        <is>
          <t>上海文石</t>
        </is>
      </c>
      <c r="D158" s="82" t="inlineStr">
        <is>
          <t>男</t>
        </is>
      </c>
      <c r="E158" s="532" t="n">
        <v>12000</v>
      </c>
      <c r="F158" s="218" t="inlineStr">
        <is>
          <t>工资：9.6K/12K
签三年合同，试用期6个月 前3个月打八折
到岗时间：2025年5月19日
没有其他别的补贴，
转正：基本工资  2600  元/月，绩效工资 3200 元/月，社保补贴 3000 元/月，外派津贴 3200 元/月,合计 12000 元/月。</t>
        </is>
      </c>
      <c r="G158" s="541" t="inlineStr">
        <is>
          <t>材料齐全
已回寄员工
社保公积金补贴  3000元/月</t>
        </is>
      </c>
      <c r="H158" s="82" t="inlineStr">
        <is>
          <t>智能驾驶整车改装工程师</t>
        </is>
      </c>
      <c r="I158" s="533" t="n">
        <v>45796</v>
      </c>
      <c r="J158" s="533" t="inlineStr">
        <is>
          <t>/</t>
        </is>
      </c>
      <c r="K158" s="533" t="n">
        <v>45970</v>
      </c>
      <c r="L158" s="534" t="n">
        <v>45809</v>
      </c>
      <c r="M158" s="82" t="inlineStr">
        <is>
          <t>上海</t>
        </is>
      </c>
      <c r="N158" s="82" t="inlineStr">
        <is>
          <t>上海</t>
        </is>
      </c>
      <c r="O158" s="82" t="inlineStr">
        <is>
          <t>9.6K</t>
        </is>
      </c>
      <c r="P158" s="82" t="inlineStr">
        <is>
          <t>12K</t>
        </is>
      </c>
      <c r="Q158" s="532" t="n">
        <v>0</v>
      </c>
      <c r="R158" s="532" t="n">
        <v>0</v>
      </c>
      <c r="S158" s="532" t="n">
        <v>0</v>
      </c>
      <c r="T158" s="218" t="inlineStr">
        <is>
          <t>第一次合同：3年：
2025/5/19-2028/5/18</t>
        </is>
      </c>
      <c r="U158" s="82" t="inlineStr">
        <is>
          <t>6个月</t>
        </is>
      </c>
      <c r="V158" s="82" t="inlineStr">
        <is>
          <t>汽车运用与维修</t>
        </is>
      </c>
      <c r="W158" s="82" t="inlineStr">
        <is>
          <t>2021年07</t>
        </is>
      </c>
      <c r="X158" s="82" t="inlineStr">
        <is>
          <t>中职</t>
        </is>
      </c>
      <c r="Y158" s="82" t="inlineStr">
        <is>
          <t>2965669441@qq.com</t>
        </is>
      </c>
      <c r="Z158" s="82" t="inlineStr">
        <is>
          <t>贵州省桐梓县黄莲乡新庄村高台组</t>
        </is>
      </c>
      <c r="AA158" s="218" t="inlineStr">
        <is>
          <t>张维忠
19316603337
上海市浦东新区平县法拉第路258弄6号楼</t>
        </is>
      </c>
      <c r="AB158" s="82" t="n">
        <v>19316603337</v>
      </c>
      <c r="AC158" s="494" t="inlineStr">
        <is>
          <t>522122200301177613</t>
        </is>
      </c>
      <c r="AD158" s="494" t="inlineStr">
        <is>
          <t>6217001180089868627</t>
        </is>
      </c>
      <c r="AE158" s="82" t="inlineStr">
        <is>
          <t>中国建设银行</t>
        </is>
      </c>
      <c r="AG158" s="532" t="inlineStr">
        <is>
          <t>是</t>
        </is>
      </c>
      <c r="AH158" s="248" t="inlineStr">
        <is>
          <t>第一次合同：3年：2025/5/19-2028/5/18</t>
        </is>
      </c>
      <c r="AI158" s="82">
        <f>DATEDIF(--TEXT(MID(AC158,7,8),"0-00-00"),TODAY(),"y")</f>
        <v/>
      </c>
      <c r="AJ158" s="548">
        <f>TEXT(MID(AC158,7,8),"0000-00-00")</f>
        <v/>
      </c>
      <c r="AK158" s="95">
        <f>CHOOSE(MONTH(AJ158),1,1,1,2,2,2,3,3,3,4,4,4)</f>
        <v/>
      </c>
    </row>
    <row r="159" s="558">
      <c r="A159" s="82" t="n">
        <v>77</v>
      </c>
      <c r="B159" s="82" t="inlineStr">
        <is>
          <t>李闯</t>
        </is>
      </c>
      <c r="C159" s="82" t="inlineStr">
        <is>
          <t>上海文石</t>
        </is>
      </c>
      <c r="D159" s="82" t="inlineStr">
        <is>
          <t>男</t>
        </is>
      </c>
      <c r="E159" s="532" t="n">
        <v>13000</v>
      </c>
      <c r="F159" s="218" t="inlineStr">
        <is>
          <t>工资10.4K/13K
签三年合同，试用期6个月 前3个月打八折
到岗时间：2025年5月19日
没有其他别的补贴
转正：基本工资  2600  元/月，绩效工资 3700 元/月，社保补贴 3000 元/月，外派津贴 3700 元/月,合计 13000 元/月。</t>
        </is>
      </c>
      <c r="G159" s="541" t="inlineStr">
        <is>
          <t>材料齐全
已回寄员工
社保公积金补贴3000元/月</t>
        </is>
      </c>
      <c r="H159" s="82" t="inlineStr">
        <is>
          <t>智能驾驶整车改装工程师</t>
        </is>
      </c>
      <c r="I159" s="533" t="n">
        <v>45796</v>
      </c>
      <c r="J159" s="533" t="inlineStr">
        <is>
          <t>/</t>
        </is>
      </c>
      <c r="K159" s="533" t="n">
        <v>45970</v>
      </c>
      <c r="L159" s="534" t="n">
        <v>45809</v>
      </c>
      <c r="M159" s="82" t="inlineStr">
        <is>
          <t>上海</t>
        </is>
      </c>
      <c r="N159" s="82" t="inlineStr">
        <is>
          <t>上海</t>
        </is>
      </c>
      <c r="O159" s="82" t="inlineStr">
        <is>
          <t>10.4K</t>
        </is>
      </c>
      <c r="P159" s="82" t="inlineStr">
        <is>
          <t>13K</t>
        </is>
      </c>
      <c r="Q159" s="532" t="n">
        <v>0</v>
      </c>
      <c r="R159" s="532" t="n">
        <v>0</v>
      </c>
      <c r="S159" s="532" t="n">
        <v>0</v>
      </c>
      <c r="T159" s="218" t="inlineStr">
        <is>
          <t>第一次合同：3年：
2025/5/19-2028/5/18</t>
        </is>
      </c>
      <c r="U159" s="82" t="inlineStr">
        <is>
          <t>6个月</t>
        </is>
      </c>
      <c r="V159" s="82" t="inlineStr">
        <is>
          <t>/</t>
        </is>
      </c>
      <c r="W159" s="82" t="inlineStr">
        <is>
          <t>2004年07</t>
        </is>
      </c>
      <c r="X159" s="82" t="inlineStr">
        <is>
          <t>高中</t>
        </is>
      </c>
      <c r="Y159" s="82" t="inlineStr">
        <is>
          <t>1368020158@qq.com</t>
        </is>
      </c>
      <c r="Z159" s="82" t="inlineStr">
        <is>
          <t>河南省镇平县曲屯乡曹营村中洼庄626号</t>
        </is>
      </c>
      <c r="AA159" s="218" t="inlineStr">
        <is>
          <t>李闯
15036217680
上海市浦东新区张江镇法拉第路258弄品域生佳6号楼地平线</t>
        </is>
      </c>
      <c r="AB159" s="82" t="n">
        <v>15036217680</v>
      </c>
      <c r="AC159" s="82" t="inlineStr">
        <is>
          <t>41132419850923301X</t>
        </is>
      </c>
      <c r="AD159" s="494" t="inlineStr">
        <is>
          <t>6217001180089868619</t>
        </is>
      </c>
      <c r="AE159" s="82" t="inlineStr">
        <is>
          <t>中国建设银行</t>
        </is>
      </c>
      <c r="AG159" s="532" t="inlineStr">
        <is>
          <t>是</t>
        </is>
      </c>
      <c r="AH159" s="248" t="inlineStr">
        <is>
          <t>第一次合同：3年：2025/5/19-2028/5/18</t>
        </is>
      </c>
      <c r="AI159" s="82">
        <f>DATEDIF(--TEXT(MID(AC159,7,8),"0-00-00"),TODAY(),"y")</f>
        <v/>
      </c>
      <c r="AJ159" s="548">
        <f>TEXT(MID(AC159,7,8),"0000-00-00")</f>
        <v/>
      </c>
      <c r="AK159" s="95">
        <f>CHOOSE(MONTH(AJ159),1,1,1,2,2,2,3,3,3,4,4,4)</f>
        <v/>
      </c>
    </row>
    <row r="160" customFormat="1" s="549">
      <c r="A160" s="197" t="n">
        <v>158</v>
      </c>
      <c r="B160" s="206" t="inlineStr">
        <is>
          <t>原金亮
（2025.6.23已离职）</t>
        </is>
      </c>
      <c r="C160" s="206" t="inlineStr">
        <is>
          <t>/</t>
        </is>
      </c>
      <c r="D160" s="197" t="inlineStr">
        <is>
          <t>男</t>
        </is>
      </c>
      <c r="E160" s="549" t="n">
        <v>14000</v>
      </c>
      <c r="F160" s="206" t="inlineStr">
        <is>
          <t>工资：14K，签订三年合同，试用期6个月，前3个月8折。
转正：基本工资  2600 元/月，绩效工资  4200 元/月，外派津贴 4200 元/月，社保公积金补贴 3000 元/月 ,合计 14000 元/月。</t>
        </is>
      </c>
      <c r="G160" s="206" t="inlineStr">
        <is>
          <t>电子签
员工已签署闭环
开始最完备合同
社保公积金补贴3000  元/月</t>
        </is>
      </c>
      <c r="H160" s="206" t="inlineStr">
        <is>
          <t>运维工程师</t>
        </is>
      </c>
      <c r="I160" s="551" t="n">
        <v>45803</v>
      </c>
      <c r="J160" s="552" t="inlineStr">
        <is>
          <t>项目Lastday为2025.6.23，
文石lastday2025.6.24，薪资正常结算到2025.6.24
个人原因离职
和仲伟巍吵架</t>
        </is>
      </c>
      <c r="K160" s="533" t="n">
        <v>45986</v>
      </c>
      <c r="L160" s="553" t="n">
        <v>45809</v>
      </c>
      <c r="M160" s="197" t="inlineStr">
        <is>
          <t>上海</t>
        </is>
      </c>
      <c r="N160" s="197" t="inlineStr">
        <is>
          <t>上海</t>
        </is>
      </c>
      <c r="O160" s="230" t="n">
        <v>11200</v>
      </c>
      <c r="P160" s="230" t="n">
        <v>14000</v>
      </c>
      <c r="Q160" s="532" t="n">
        <v>0</v>
      </c>
      <c r="R160" s="532" t="n">
        <v>0</v>
      </c>
      <c r="S160" s="532" t="n">
        <v>0</v>
      </c>
      <c r="T160" s="206" t="inlineStr">
        <is>
          <t>第一次合同：3年：
2025/5/26-2028/5/25</t>
        </is>
      </c>
      <c r="U160" s="197" t="inlineStr">
        <is>
          <t>6个月</t>
        </is>
      </c>
      <c r="V160" s="549" t="inlineStr">
        <is>
          <t>汽车运用与维修</t>
        </is>
      </c>
      <c r="W160" s="197" t="inlineStr">
        <is>
          <t>2016年06</t>
        </is>
      </c>
      <c r="X160" s="549" t="inlineStr">
        <is>
          <t>专科</t>
        </is>
      </c>
      <c r="Y160" s="224" t="inlineStr">
        <is>
          <t>2550374283@qq.com</t>
        </is>
      </c>
      <c r="Z160" s="197" t="inlineStr">
        <is>
          <t>甘肃省陇西县双泉镇林家洼村营合里社20号</t>
        </is>
      </c>
      <c r="AA160" s="197" t="inlineStr">
        <is>
          <t>上海市浦东新区川沙新镇黄楼花苑15号楼201室</t>
        </is>
      </c>
      <c r="AB160" s="197" t="inlineStr">
        <is>
          <t>，18616593088</t>
        </is>
      </c>
      <c r="AC160" s="491" t="inlineStr">
        <is>
          <t>622425199502087319</t>
        </is>
      </c>
      <c r="AD160" s="556" t="inlineStr">
        <is>
          <t>6217001180089355047</t>
        </is>
      </c>
      <c r="AE160" s="197" t="inlineStr">
        <is>
          <t>中国建设银行</t>
        </is>
      </c>
      <c r="AF160" s="549" t="n"/>
      <c r="AG160" s="549" t="inlineStr">
        <is>
          <t>否</t>
        </is>
      </c>
      <c r="AH160" s="252" t="inlineStr">
        <is>
          <t>离职啦</t>
        </is>
      </c>
      <c r="AI160" s="82">
        <f>DATEDIF(--TEXT(MID(AC160,7,8),"0-00-00"),TODAY(),"y")</f>
        <v/>
      </c>
      <c r="AJ160" s="548">
        <f>TEXT(MID(AC160,7,8),"0000-00-00")</f>
        <v/>
      </c>
      <c r="AK160" s="95">
        <f>CHOOSE(MONTH(AJ160),1,1,1,2,2,2,3,3,3,4,4,4)</f>
        <v/>
      </c>
    </row>
    <row r="161" s="558">
      <c r="A161" s="82" t="n">
        <v>78</v>
      </c>
      <c r="B161" s="82" t="inlineStr">
        <is>
          <t>聂家胡</t>
        </is>
      </c>
      <c r="C161" s="82" t="inlineStr">
        <is>
          <t>上海文石</t>
        </is>
      </c>
      <c r="D161" s="82" t="inlineStr">
        <is>
          <t>男</t>
        </is>
      </c>
      <c r="E161" s="532" t="n">
        <v>23000</v>
      </c>
      <c r="F161" s="218" t="inlineStr">
        <is>
          <t>工资：18400/23K,签订三年合同，试用期6个月，前3个月8折。
转正：基本工资  2600 元/月，绩效工资 8700 元/月，外派津贴 8700 元/月，社保公积金补贴 3000 元/月 ,合计 23000  元/月。</t>
        </is>
      </c>
      <c r="G161" s="218" t="inlineStr">
        <is>
          <t>电子签
员工已签署闭环
开始最完备合同
社保公积金补贴  3000元/月</t>
        </is>
      </c>
      <c r="H161" s="218" t="inlineStr">
        <is>
          <t>自动化测试工程师</t>
        </is>
      </c>
      <c r="I161" s="533" t="n">
        <v>45803</v>
      </c>
      <c r="J161" s="533" t="inlineStr">
        <is>
          <t>/</t>
        </is>
      </c>
      <c r="K161" s="533" t="n">
        <v>45986</v>
      </c>
      <c r="L161" s="534" t="n">
        <v>45809</v>
      </c>
      <c r="M161" s="82" t="inlineStr">
        <is>
          <t>上海</t>
        </is>
      </c>
      <c r="N161" s="82" t="inlineStr">
        <is>
          <t>上海</t>
        </is>
      </c>
      <c r="O161" s="82" t="n">
        <v>18400</v>
      </c>
      <c r="P161" s="82" t="n">
        <v>23000</v>
      </c>
      <c r="Q161" s="532" t="n">
        <v>0</v>
      </c>
      <c r="R161" s="532" t="n">
        <v>0</v>
      </c>
      <c r="S161" s="532" t="n">
        <v>0</v>
      </c>
      <c r="T161" s="218" t="inlineStr">
        <is>
          <t>第一次合同：3年：
2025/5/26-2028/5/25</t>
        </is>
      </c>
      <c r="U161" s="82" t="inlineStr">
        <is>
          <t>6个月</t>
        </is>
      </c>
      <c r="V161" s="532" t="inlineStr">
        <is>
          <t>信息与计算科学</t>
        </is>
      </c>
      <c r="W161" s="82" t="inlineStr">
        <is>
          <t>2016年06</t>
        </is>
      </c>
      <c r="X161" s="532" t="inlineStr">
        <is>
          <t>本科</t>
        </is>
      </c>
      <c r="Y161" s="223" t="inlineStr">
        <is>
          <t>15618658301@163.com</t>
        </is>
      </c>
      <c r="Z161" s="82" t="inlineStr">
        <is>
          <t>安徽省六安市金安区马头镇十字路村胜利组</t>
        </is>
      </c>
      <c r="AA161" s="82" t="inlineStr">
        <is>
          <t>上海浦东新区周泰北路88弄A5幢504</t>
        </is>
      </c>
      <c r="AB161" s="82" t="inlineStr">
        <is>
          <t>，15618658301</t>
        </is>
      </c>
      <c r="AC161" s="494" t="inlineStr">
        <is>
          <t>342401199307176537</t>
        </is>
      </c>
      <c r="AD161" s="546" t="inlineStr">
        <is>
          <t>6217001630062728123</t>
        </is>
      </c>
      <c r="AE161" s="82" t="inlineStr">
        <is>
          <t>中国建设银行</t>
        </is>
      </c>
      <c r="AG161" s="532" t="inlineStr">
        <is>
          <t>是</t>
        </is>
      </c>
      <c r="AH161" s="248" t="inlineStr">
        <is>
          <t>第一次合同：3年：2025/5/26-2028/5/25</t>
        </is>
      </c>
      <c r="AI161" s="82">
        <f>DATEDIF(--TEXT(MID(AC161,7,8),"0-00-00"),TODAY(),"y")</f>
        <v/>
      </c>
      <c r="AJ161" s="548">
        <f>TEXT(MID(AC161,7,8),"0000-00-00")</f>
        <v/>
      </c>
      <c r="AK161" s="95">
        <f>CHOOSE(MONTH(AJ161),1,1,1,2,2,2,3,3,3,4,4,4)</f>
        <v/>
      </c>
    </row>
    <row r="162" s="558">
      <c r="A162" s="82" t="n">
        <v>79</v>
      </c>
      <c r="B162" s="82" t="inlineStr">
        <is>
          <t>任玉帅</t>
        </is>
      </c>
      <c r="C162" s="82" t="inlineStr">
        <is>
          <t>邦芒</t>
        </is>
      </c>
      <c r="D162" s="82" t="inlineStr">
        <is>
          <t>男</t>
        </is>
      </c>
      <c r="E162" s="532" t="n">
        <v>17000</v>
      </c>
      <c r="F162" s="218" t="inlineStr">
        <is>
          <t>工资：13600/17K，签订三年合同，试用期6个月，前3个月8折。
到岗时间：2025年6月4日</t>
        </is>
      </c>
      <c r="G162" s="218" t="inlineStr">
        <is>
          <t>电子签
员工已签署闭环
开始最完备合同
入职材料也齐全
社保公积金补贴  3000元/月</t>
        </is>
      </c>
      <c r="H162" s="82" t="inlineStr">
        <is>
          <t>司机队长</t>
        </is>
      </c>
      <c r="I162" s="533" t="n">
        <v>45812</v>
      </c>
      <c r="J162" s="533" t="inlineStr">
        <is>
          <t>/</t>
        </is>
      </c>
      <c r="K162" s="533" t="n">
        <v>45994</v>
      </c>
      <c r="L162" s="534" t="n">
        <v>45809</v>
      </c>
      <c r="M162" s="82" t="inlineStr">
        <is>
          <t>上海</t>
        </is>
      </c>
      <c r="N162" s="82" t="inlineStr">
        <is>
          <t>上海</t>
        </is>
      </c>
      <c r="O162" s="82" t="inlineStr">
        <is>
          <t>13.6K</t>
        </is>
      </c>
      <c r="P162" s="82" t="inlineStr">
        <is>
          <t>17K</t>
        </is>
      </c>
      <c r="Q162" s="532" t="n">
        <v>0</v>
      </c>
      <c r="R162" s="532" t="n">
        <v>0</v>
      </c>
      <c r="S162" s="532" t="n">
        <v>0</v>
      </c>
      <c r="T162" s="218" t="inlineStr">
        <is>
          <t>第一次合同：3年：
2025/6/4-2028/6/3</t>
        </is>
      </c>
      <c r="U162" s="82" t="inlineStr">
        <is>
          <t>6个月</t>
        </is>
      </c>
      <c r="V162" s="82" t="inlineStr">
        <is>
          <t>工商管理</t>
        </is>
      </c>
      <c r="W162" s="82" t="inlineStr">
        <is>
          <t>2023年07</t>
        </is>
      </c>
      <c r="X162" s="532" t="inlineStr">
        <is>
          <t>专科</t>
        </is>
      </c>
      <c r="Y162" s="82" t="inlineStr">
        <is>
          <t>545651119@qq.com</t>
        </is>
      </c>
      <c r="Z162" s="82" t="inlineStr">
        <is>
          <t>山东省菏泽市牡丹区沙土镇任楼行政村任楼村526号</t>
        </is>
      </c>
      <c r="AA162" s="532" t="inlineStr">
        <is>
          <t xml:space="preserve"> 上海市浦东新区益江路396弄58号201</t>
        </is>
      </c>
      <c r="AB162" s="82" t="n">
        <v>18616344416</v>
      </c>
      <c r="AC162" s="494" t="inlineStr">
        <is>
          <t>372901199405203474</t>
        </is>
      </c>
      <c r="AD162" s="546" t="inlineStr">
        <is>
          <t>6230941210003893777</t>
        </is>
      </c>
      <c r="AE162" s="82" t="inlineStr">
        <is>
          <t>中国建设银行</t>
        </is>
      </c>
      <c r="AG162" s="532" t="inlineStr">
        <is>
          <t>是</t>
        </is>
      </c>
      <c r="AH162" s="533" t="inlineStr">
        <is>
          <t>第一次合同：3年：2025/6/4-2028/6/3</t>
        </is>
      </c>
      <c r="AI162" s="82">
        <f>DATEDIF(--TEXT(MID(AC162,7,8),"0-00-00"),TODAY(),"y")</f>
        <v/>
      </c>
      <c r="AJ162" s="548">
        <f>TEXT(MID(AC162,7,8),"0000-00-00")</f>
        <v/>
      </c>
      <c r="AK162" s="95">
        <f>CHOOSE(MONTH(AJ162),1,1,1,2,2,2,3,3,3,4,4,4)</f>
        <v/>
      </c>
    </row>
    <row r="163" ht="120" customHeight="1" s="558">
      <c r="A163" s="82" t="n">
        <v>80</v>
      </c>
      <c r="B163" s="82" t="inlineStr">
        <is>
          <t>丁康</t>
        </is>
      </c>
      <c r="C163" s="82" t="inlineStr">
        <is>
          <t>南京文石</t>
        </is>
      </c>
      <c r="D163" s="82" t="inlineStr">
        <is>
          <t>男</t>
        </is>
      </c>
      <c r="E163" s="532" t="n">
        <v>20000</v>
      </c>
      <c r="F163" s="218" t="inlineStr">
        <is>
          <t>工资：16000/20K，签订三年合同，试用期6个月，前3个月8折。
到岗时间：2025年6月4日
（五险基数最低 公积金20k全额缴纳，多出部分员工承担）</t>
        </is>
      </c>
      <c r="G163" s="218" t="inlineStr">
        <is>
          <t>电子签
员工已签署闭环
开始最完备合同
入职材料也齐全
开始签署社保补贴书-社保公积金补贴  3000元/月</t>
        </is>
      </c>
      <c r="H163" s="82" t="inlineStr">
        <is>
          <t>C++应用软件工程师</t>
        </is>
      </c>
      <c r="I163" s="533" t="n">
        <v>45812</v>
      </c>
      <c r="J163" s="533" t="inlineStr">
        <is>
          <t>/</t>
        </is>
      </c>
      <c r="K163" s="533" t="n">
        <v>45994</v>
      </c>
      <c r="L163" s="534" t="n">
        <v>45809</v>
      </c>
      <c r="M163" s="82" t="inlineStr">
        <is>
          <t>南京</t>
        </is>
      </c>
      <c r="N163" s="82" t="inlineStr">
        <is>
          <t>南京</t>
        </is>
      </c>
      <c r="O163" s="82" t="inlineStr">
        <is>
          <t>16K</t>
        </is>
      </c>
      <c r="P163" s="82" t="inlineStr">
        <is>
          <t>20K</t>
        </is>
      </c>
      <c r="Q163" s="532" t="n">
        <v>0</v>
      </c>
      <c r="R163" s="532" t="n">
        <v>0</v>
      </c>
      <c r="S163" s="532" t="n">
        <v>0</v>
      </c>
      <c r="T163" s="218" t="inlineStr">
        <is>
          <t>第一次合同：3年：
2025/6/4-2028/6/3</t>
        </is>
      </c>
      <c r="U163" s="82" t="inlineStr">
        <is>
          <t>6个月</t>
        </is>
      </c>
      <c r="V163" s="532" t="inlineStr">
        <is>
          <t>电子信息科学与技术</t>
        </is>
      </c>
      <c r="W163" s="82" t="inlineStr">
        <is>
          <t>2017年06</t>
        </is>
      </c>
      <c r="X163" s="532" t="inlineStr">
        <is>
          <t>本科</t>
        </is>
      </c>
      <c r="Y163" s="82" t="inlineStr">
        <is>
          <t>1185013415@qq.com</t>
        </is>
      </c>
      <c r="Z163" s="82" t="inlineStr">
        <is>
          <t>安徽省安庆市怀宁县公岭镇永新村石桥组25号</t>
        </is>
      </c>
      <c r="AA163" s="532" t="inlineStr">
        <is>
          <t>南京市溧水区创业路远洋万和四季11-1201</t>
        </is>
      </c>
      <c r="AB163" s="82" t="n">
        <v>15655230563</v>
      </c>
      <c r="AC163" s="494" t="inlineStr">
        <is>
          <t>340822199404112019</t>
        </is>
      </c>
      <c r="AD163" s="546" t="inlineStr">
        <is>
          <t>6215340302602836998</t>
        </is>
      </c>
      <c r="AE163" s="82" t="inlineStr">
        <is>
          <t>中国建设银行</t>
        </is>
      </c>
      <c r="AG163" s="532" t="inlineStr">
        <is>
          <t>是</t>
        </is>
      </c>
      <c r="AH163" s="533" t="inlineStr">
        <is>
          <t>第一次合同：3年：2025/6/4-2028/6/3</t>
        </is>
      </c>
      <c r="AI163" s="82">
        <f>DATEDIF(--TEXT(MID(AC163,7,8),"0-00-00"),TODAY(),"y")</f>
        <v/>
      </c>
      <c r="AJ163" s="548">
        <f>TEXT(MID(AC163,7,8),"0000-00-00")</f>
        <v/>
      </c>
      <c r="AK163" s="95">
        <f>CHOOSE(MONTH(AJ163),1,1,1,2,2,2,3,3,3,4,4,4)</f>
        <v/>
      </c>
    </row>
    <row r="164" s="558">
      <c r="A164" s="82" t="n">
        <v>81</v>
      </c>
      <c r="B164" s="218" t="inlineStr">
        <is>
          <t>尹鹏昭
（大陆芯）</t>
        </is>
      </c>
      <c r="C164" s="218" t="inlineStr">
        <is>
          <t>北京文石</t>
        </is>
      </c>
      <c r="D164" s="82" t="inlineStr">
        <is>
          <t>男</t>
        </is>
      </c>
      <c r="E164" s="532" t="n">
        <v>20000</v>
      </c>
      <c r="F164" s="218" t="inlineStr">
        <is>
          <t>工资：16000/20K，签订三年合同，试用期6个月，前3个月8折。社保公积金补贴  3000元/月
到岗时间：2025年6月4日</t>
        </is>
      </c>
      <c r="G164" s="218" t="inlineStr">
        <is>
          <t>电子签，员工已签署闭环
（短期5个月 候选人不知情2026年2月11号合同变长期了且报价调整从3w调整为2.9w）
材料齐全，员工考勤不诚实</t>
        </is>
      </c>
      <c r="H164" s="218" t="inlineStr">
        <is>
          <t>智驾大陆
QNX软件开发工程师 岗位</t>
        </is>
      </c>
      <c r="I164" s="533" t="n">
        <v>45812</v>
      </c>
      <c r="J164" s="533" t="inlineStr">
        <is>
          <t>/</t>
        </is>
      </c>
      <c r="K164" s="533" t="n">
        <v>45994</v>
      </c>
      <c r="L164" s="534" t="n">
        <v>45809</v>
      </c>
      <c r="M164" s="82" t="inlineStr">
        <is>
          <t>北京</t>
        </is>
      </c>
      <c r="N164" s="82" t="inlineStr">
        <is>
          <t>北京</t>
        </is>
      </c>
      <c r="O164" s="82" t="inlineStr">
        <is>
          <t>16K</t>
        </is>
      </c>
      <c r="P164" s="82" t="inlineStr">
        <is>
          <t>20K</t>
        </is>
      </c>
      <c r="Q164" s="532" t="n">
        <v>0</v>
      </c>
      <c r="R164" s="532" t="n">
        <v>0</v>
      </c>
      <c r="S164" s="532" t="n">
        <v>0</v>
      </c>
      <c r="T164" s="218" t="inlineStr">
        <is>
          <t>第一次合同：3年：
2025/6/4-2028/6/3</t>
        </is>
      </c>
      <c r="U164" s="82" t="inlineStr">
        <is>
          <t>6个月</t>
        </is>
      </c>
      <c r="V164" s="532" t="inlineStr">
        <is>
          <t>物联网工程</t>
        </is>
      </c>
      <c r="W164" s="82" t="inlineStr">
        <is>
          <t>2022年07</t>
        </is>
      </c>
      <c r="X164" s="532" t="inlineStr">
        <is>
          <t>本科</t>
        </is>
      </c>
      <c r="Y164" s="82" t="inlineStr">
        <is>
          <t>pengzhao_yin@163.com</t>
        </is>
      </c>
      <c r="Z164" s="82" t="inlineStr">
        <is>
          <t>河北省南宫市大村乡前魏村430号</t>
        </is>
      </c>
      <c r="AA164" s="532" t="inlineStr">
        <is>
          <t>北京市昌平区回龙观东大街和谐家园一区24-5-502</t>
        </is>
      </c>
      <c r="AB164" s="82" t="n">
        <v>15630819169</v>
      </c>
      <c r="AC164" s="494" t="inlineStr">
        <is>
          <t>130581199807142479</t>
        </is>
      </c>
      <c r="AD164" s="546" t="inlineStr">
        <is>
          <t>6217000140032344275</t>
        </is>
      </c>
      <c r="AE164" s="82" t="inlineStr">
        <is>
          <t>中国建设银行</t>
        </is>
      </c>
      <c r="AG164" s="532" t="inlineStr">
        <is>
          <t>是</t>
        </is>
      </c>
      <c r="AH164" s="533" t="inlineStr">
        <is>
          <t>第一次合同：3年：2025/6/4-2028/6/3</t>
        </is>
      </c>
      <c r="AI164" s="82">
        <f>DATEDIF(--TEXT(MID(AC164,7,8),"0-00-00"),TODAY(),"y")</f>
        <v/>
      </c>
      <c r="AJ164" s="548">
        <f>TEXT(MID(AC164,7,8),"0000-00-00")</f>
        <v/>
      </c>
      <c r="AK164" s="95">
        <f>CHOOSE(MONTH(AJ164),1,1,1,2,2,2,3,3,3,4,4,4)</f>
        <v/>
      </c>
    </row>
    <row r="165" s="558">
      <c r="A165" s="82" t="n">
        <v>91</v>
      </c>
      <c r="B165" s="6" t="inlineStr">
        <is>
          <t>杨达宁-2026.6.18日lastday已离职</t>
        </is>
      </c>
      <c r="C165" s="82" t="inlineStr">
        <is>
          <t>邦芒</t>
        </is>
      </c>
      <c r="D165" s="82" t="inlineStr">
        <is>
          <t>男</t>
        </is>
      </c>
      <c r="E165" s="532" t="n">
        <v>19000</v>
      </c>
      <c r="F165" s="218" t="inlineStr">
        <is>
          <t>工资：15200/19K，签订三年合同，试用期6个月，前3个月8折。
工资税前 16000元,社保补贴3000元/月，合计19000元/月</t>
        </is>
      </c>
      <c r="G165" s="541" t="inlineStr">
        <is>
          <t>电子签
员工已签署闭环
开始最完备合同
材料完整
社保公积金补贴  3000元/月</t>
        </is>
      </c>
      <c r="H165" s="218" t="inlineStr">
        <is>
          <t>车辆运营</t>
        </is>
      </c>
      <c r="I165" s="533" t="n">
        <v>45817</v>
      </c>
      <c r="J165" s="541" t="inlineStr">
        <is>
          <t>上海张江汽车基地车辆运营lastday2026/6/18
1、7.5发放5.25-6.18薪资（表示考勤正常，出差流程已经发起过了等戴林娜审批）
2、手头相关报销已全部提交，等客户确认下来第一时间发放
3、结余8.28天调休数据，等客户确认后发放</t>
        </is>
      </c>
      <c r="K165" s="533" t="n">
        <v>45999</v>
      </c>
      <c r="L165" s="534" t="n">
        <v>45809</v>
      </c>
      <c r="M165" s="262" t="inlineStr">
        <is>
          <t>上海</t>
        </is>
      </c>
      <c r="N165" s="262" t="inlineStr">
        <is>
          <t>上海</t>
        </is>
      </c>
      <c r="O165" s="82" t="n">
        <v>15200</v>
      </c>
      <c r="P165" s="82" t="n">
        <v>19000</v>
      </c>
      <c r="Q165" s="532" t="n">
        <v>0</v>
      </c>
      <c r="R165" s="532" t="n">
        <v>0</v>
      </c>
      <c r="S165" s="532" t="n">
        <v>0</v>
      </c>
      <c r="T165" s="218" t="inlineStr">
        <is>
          <t>第一次合同：3年：
2025/6/9-2028/6/8</t>
        </is>
      </c>
      <c r="U165" s="82" t="inlineStr">
        <is>
          <t>6个月</t>
        </is>
      </c>
      <c r="V165" s="532" t="inlineStr">
        <is>
          <t>行政管理</t>
        </is>
      </c>
      <c r="W165" s="82" t="inlineStr">
        <is>
          <t>2012年07</t>
        </is>
      </c>
      <c r="X165" s="532" t="inlineStr">
        <is>
          <t>大专</t>
        </is>
      </c>
      <c r="Y165" s="223" t="inlineStr">
        <is>
          <t>1601417352@qq.com</t>
        </is>
      </c>
      <c r="Z165" s="532" t="inlineStr">
        <is>
          <t>上海市长宁区天山五村40号11室</t>
        </is>
      </c>
      <c r="AA165" s="532" t="inlineStr">
        <is>
          <t>上海市长宁区天山五村40号11室</t>
        </is>
      </c>
      <c r="AB165" s="82" t="n">
        <v>18019787657</v>
      </c>
      <c r="AC165" s="494" t="inlineStr">
        <is>
          <t>310102198305221232</t>
        </is>
      </c>
      <c r="AD165" s="546" t="inlineStr">
        <is>
          <t>6222801217641004440</t>
        </is>
      </c>
      <c r="AE165" s="82" t="inlineStr">
        <is>
          <t>中国建设银行</t>
        </is>
      </c>
      <c r="AG165" s="532" t="inlineStr">
        <is>
          <t>是</t>
        </is>
      </c>
      <c r="AH165" s="533" t="inlineStr">
        <is>
          <t>第一次合同：3年：2025/6/9-2028/6/8</t>
        </is>
      </c>
      <c r="AI165" s="82">
        <f>DATEDIF(--TEXT(MID(AC165,7,8),"0-00-00"),TODAY(),"y")</f>
        <v/>
      </c>
      <c r="AJ165" s="548">
        <f>TEXT(MID(AC165,7,8),"0000-00-00")</f>
        <v/>
      </c>
      <c r="AK165" s="95">
        <f>CHOOSE(MONTH(AJ165),1,1,1,2,2,2,3,3,3,4,4,4)</f>
        <v/>
      </c>
    </row>
    <row r="166" customFormat="1" s="549">
      <c r="A166" s="197" t="n">
        <v>93</v>
      </c>
      <c r="B166" s="206" t="inlineStr">
        <is>
          <t>闫天峰
(取消入职)</t>
        </is>
      </c>
      <c r="C166" s="206" t="inlineStr">
        <is>
          <t>/</t>
        </is>
      </c>
      <c r="D166" s="197" t="inlineStr">
        <is>
          <t>男</t>
        </is>
      </c>
      <c r="E166" s="549" t="n">
        <v>26000</v>
      </c>
      <c r="F166" s="206" t="inlineStr">
        <is>
          <t>工资：26K,签订三年合同，试用期6个月，前3个月8折。</t>
        </is>
      </c>
      <c r="G166" s="549" t="inlineStr">
        <is>
          <t>/</t>
        </is>
      </c>
      <c r="H166" s="206" t="inlineStr">
        <is>
          <t>前端开发工程师（可视化方向）</t>
        </is>
      </c>
      <c r="I166" s="551" t="n">
        <v>45817</v>
      </c>
      <c r="J166" s="551" t="inlineStr">
        <is>
          <t>/</t>
        </is>
      </c>
      <c r="K166" s="533" t="inlineStr">
        <is>
          <t>/</t>
        </is>
      </c>
      <c r="L166" s="553" t="inlineStr">
        <is>
          <t>/</t>
        </is>
      </c>
      <c r="M166" s="197" t="inlineStr">
        <is>
          <t>南京</t>
        </is>
      </c>
      <c r="N166" s="197" t="inlineStr">
        <is>
          <t>南京</t>
        </is>
      </c>
      <c r="O166" s="230" t="n">
        <v>20800</v>
      </c>
      <c r="P166" s="230" t="n">
        <v>26000</v>
      </c>
      <c r="Q166" s="532" t="n">
        <v>0</v>
      </c>
      <c r="R166" s="532" t="n">
        <v>0</v>
      </c>
      <c r="S166" s="532" t="n">
        <v>0</v>
      </c>
      <c r="T166" s="197" t="inlineStr">
        <is>
          <t>/</t>
        </is>
      </c>
      <c r="U166" s="197" t="inlineStr">
        <is>
          <t>6个月</t>
        </is>
      </c>
      <c r="V166" s="549" t="inlineStr">
        <is>
          <t>/</t>
        </is>
      </c>
      <c r="W166" s="551" t="inlineStr">
        <is>
          <t>/</t>
        </is>
      </c>
      <c r="X166" s="549" t="inlineStr">
        <is>
          <t>/</t>
        </is>
      </c>
      <c r="Y166" s="224" t="inlineStr">
        <is>
          <t>178884773@qq.com</t>
        </is>
      </c>
      <c r="Z166" s="549" t="inlineStr">
        <is>
          <t>/</t>
        </is>
      </c>
      <c r="AA166" s="549" t="inlineStr">
        <is>
          <t>/</t>
        </is>
      </c>
      <c r="AB166" s="197" t="n">
        <v>13611129070</v>
      </c>
      <c r="AC166" s="491" t="inlineStr">
        <is>
          <t>140521198911172812</t>
        </is>
      </c>
      <c r="AD166" s="549" t="inlineStr">
        <is>
          <t>/</t>
        </is>
      </c>
      <c r="AE166" s="197" t="inlineStr">
        <is>
          <t>中国建设银行</t>
        </is>
      </c>
      <c r="AF166" s="549" t="n"/>
      <c r="AG166" s="549" t="inlineStr">
        <is>
          <t>否</t>
        </is>
      </c>
      <c r="AH166" s="551" t="inlineStr">
        <is>
          <t>/</t>
        </is>
      </c>
      <c r="AI166" s="82">
        <f>DATEDIF(--TEXT(MID(AC166,7,8),"0-00-00"),TODAY(),"y")</f>
        <v/>
      </c>
      <c r="AJ166" s="548">
        <f>TEXT(MID(AC166,7,8),"0000-00-00")</f>
        <v/>
      </c>
      <c r="AK166" s="95">
        <f>CHOOSE(MONTH(AJ166),1,1,1,2,2,2,3,3,3,4,4,4)</f>
        <v/>
      </c>
    </row>
    <row r="167" customFormat="1" s="549">
      <c r="A167" s="197" t="n">
        <v>92</v>
      </c>
      <c r="B167" s="206" t="inlineStr">
        <is>
          <t>霍英栋
（大陆芯）
（2025/9/5主动离职转回创达）</t>
        </is>
      </c>
      <c r="C167" s="206" t="inlineStr">
        <is>
          <t>/</t>
        </is>
      </c>
      <c r="D167" s="197" t="inlineStr">
        <is>
          <t>男</t>
        </is>
      </c>
      <c r="E167" s="549" t="n">
        <v>14000</v>
      </c>
      <c r="F167" s="206" t="inlineStr">
        <is>
          <t xml:space="preserve">工资：11200/14K,签订三年合同，试用期6个月，前3个月8折。
</t>
        </is>
      </c>
      <c r="G167" s="549" t="inlineStr">
        <is>
          <t>电子签
员工已签署闭环
开始最完备合同
材料完整
社保公积金补贴  3000元/月</t>
        </is>
      </c>
      <c r="H167" s="206" t="inlineStr">
        <is>
          <t>实车测试工程师</t>
        </is>
      </c>
      <c r="I167" s="551" t="n">
        <v>45817</v>
      </c>
      <c r="J167" s="551" t="inlineStr">
        <is>
          <t>2025/9/5文石离职
9月8号转入创达</t>
        </is>
      </c>
      <c r="K167" s="533" t="n">
        <v>45999</v>
      </c>
      <c r="L167" s="553" t="n">
        <v>45809</v>
      </c>
      <c r="M167" s="197" t="inlineStr">
        <is>
          <t>上海</t>
        </is>
      </c>
      <c r="N167" s="197" t="inlineStr">
        <is>
          <t>上海</t>
        </is>
      </c>
      <c r="O167" s="230" t="n">
        <v>11200</v>
      </c>
      <c r="P167" s="230" t="n">
        <v>14000</v>
      </c>
      <c r="Q167" s="532" t="n">
        <v>0</v>
      </c>
      <c r="R167" s="532" t="n">
        <v>0</v>
      </c>
      <c r="S167" s="532" t="n">
        <v>0</v>
      </c>
      <c r="T167" s="197" t="inlineStr">
        <is>
          <t>第一次合同：3年：
2025/6/9-2028/6/8</t>
        </is>
      </c>
      <c r="U167" s="197" t="inlineStr">
        <is>
          <t>6个月</t>
        </is>
      </c>
      <c r="V167" s="549" t="inlineStr">
        <is>
          <t>新能源汽车技术</t>
        </is>
      </c>
      <c r="W167" s="551" t="inlineStr">
        <is>
          <t>2023年06</t>
        </is>
      </c>
      <c r="X167" s="549" t="inlineStr">
        <is>
          <t>大专</t>
        </is>
      </c>
      <c r="Y167" s="224" t="inlineStr">
        <is>
          <t xml:space="preserve">13933018365@163.com </t>
        </is>
      </c>
      <c r="Z167" s="549" t="inlineStr">
        <is>
          <t>河北省石家庄市井陉县天长镇霍家庄村新建二路108号</t>
        </is>
      </c>
      <c r="AA167" s="549" t="inlineStr">
        <is>
          <t xml:space="preserve"> 13933018365 上海市嘉定区德富路1050号嘉定宝龙广场3单元1402</t>
        </is>
      </c>
      <c r="AB167" s="197" t="n">
        <v>13933018365</v>
      </c>
      <c r="AC167" s="491" t="inlineStr">
        <is>
          <t>130121200106071038</t>
        </is>
      </c>
      <c r="AD167" s="556" t="inlineStr">
        <is>
          <t>6215340302640668205</t>
        </is>
      </c>
      <c r="AE167" s="197" t="inlineStr">
        <is>
          <t>中国建设银行</t>
        </is>
      </c>
      <c r="AF167" s="549" t="n"/>
      <c r="AG167" s="549" t="inlineStr">
        <is>
          <t>否</t>
        </is>
      </c>
      <c r="AH167" s="551" t="inlineStr">
        <is>
          <t>第一次合同：3年：2025/6/9-2028/6/8</t>
        </is>
      </c>
      <c r="AI167" s="82">
        <f>DATEDIF(--TEXT(MID(AC167,7,8),"0-00-00"),TODAY(),"y")</f>
        <v/>
      </c>
      <c r="AJ167" s="548">
        <f>TEXT(MID(AC167,7,8),"0000-00-00")</f>
        <v/>
      </c>
      <c r="AK167" s="95">
        <f>CHOOSE(MONTH(AJ167),1,1,1,2,2,2,3,3,3,4,4,4)</f>
        <v/>
      </c>
    </row>
    <row r="168" customFormat="1" s="549">
      <c r="A168" s="197" t="n">
        <v>166</v>
      </c>
      <c r="B168" s="206" t="inlineStr">
        <is>
          <t>胡耀伟
（2025/6/12已离职）</t>
        </is>
      </c>
      <c r="C168" s="206" t="inlineStr">
        <is>
          <t>/</t>
        </is>
      </c>
      <c r="D168" s="197" t="inlineStr">
        <is>
          <t>男</t>
        </is>
      </c>
      <c r="E168" s="549" t="n">
        <v>18400</v>
      </c>
      <c r="F168" s="206" t="inlineStr">
        <is>
          <t>工资：月薪资18.4K，签订兼职合同至2025/7/14。上班不需要打卡</t>
        </is>
      </c>
      <c r="G168" s="550" t="inlineStr">
        <is>
          <t>仅劳务合同的电子签
已签署OK
材料完整OK
2025/6/12个人原因已离职</t>
        </is>
      </c>
      <c r="H168" s="206" t="inlineStr">
        <is>
          <t>Golang微服务后端工程师</t>
        </is>
      </c>
      <c r="I168" s="551" t="n">
        <v>45817</v>
      </c>
      <c r="J168" s="261" t="inlineStr">
        <is>
          <t>2025/6/12主动离职
可结算4天工资</t>
        </is>
      </c>
      <c r="K168" s="533" t="n">
        <v>45999</v>
      </c>
      <c r="L168" s="553" t="n">
        <v>45809</v>
      </c>
      <c r="M168" s="197" t="inlineStr">
        <is>
          <t xml:space="preserve">北京 </t>
        </is>
      </c>
      <c r="N168" s="197" t="inlineStr">
        <is>
          <t xml:space="preserve">北京 </t>
        </is>
      </c>
      <c r="O168" s="230" t="inlineStr">
        <is>
          <t>无试用期</t>
        </is>
      </c>
      <c r="P168" s="230" t="n">
        <v>18400</v>
      </c>
      <c r="Q168" s="532" t="n">
        <v>0</v>
      </c>
      <c r="R168" s="532" t="n">
        <v>0</v>
      </c>
      <c r="S168" s="532" t="n">
        <v>0</v>
      </c>
      <c r="T168" s="550" t="inlineStr">
        <is>
          <t>第一次合同：兼职合同
2025/6/9至2025/7/14</t>
        </is>
      </c>
      <c r="U168" s="549" t="inlineStr">
        <is>
          <t>短期 无试用期</t>
        </is>
      </c>
      <c r="V168" s="549" t="inlineStr">
        <is>
          <t>/</t>
        </is>
      </c>
      <c r="W168" s="551" t="inlineStr">
        <is>
          <t>/</t>
        </is>
      </c>
      <c r="X168" s="549" t="inlineStr">
        <is>
          <t>/</t>
        </is>
      </c>
      <c r="Y168" s="224" t="inlineStr">
        <is>
          <t>308160659@qq.com</t>
        </is>
      </c>
      <c r="Z168" s="549" t="inlineStr">
        <is>
          <t>河南省上蔡县大路李乡谢堂村小王庄9号</t>
        </is>
      </c>
      <c r="AA168" s="549" t="inlineStr">
        <is>
          <t>北京市海淀区丰豪东路9号中关村集成电路设计园2号楼A座</t>
        </is>
      </c>
      <c r="AB168" s="197" t="n">
        <v>13716636100</v>
      </c>
      <c r="AC168" s="491" t="inlineStr">
        <is>
          <t>412825198708268236</t>
        </is>
      </c>
      <c r="AD168" s="556" t="inlineStr">
        <is>
          <t>6217 0024 3000 9711806</t>
        </is>
      </c>
      <c r="AE168" s="197" t="inlineStr">
        <is>
          <t>中国建设银行</t>
        </is>
      </c>
      <c r="AF168" s="549" t="n"/>
      <c r="AG168" s="549" t="inlineStr">
        <is>
          <t>否</t>
        </is>
      </c>
      <c r="AH168" s="551" t="inlineStr">
        <is>
          <t>离职啦</t>
        </is>
      </c>
      <c r="AI168" s="82">
        <f>DATEDIF(--TEXT(MID(AC168,7,8),"0-00-00"),TODAY(),"y")</f>
        <v/>
      </c>
      <c r="AJ168" s="548">
        <f>TEXT(MID(AC168,7,8),"0000-00-00")</f>
        <v/>
      </c>
      <c r="AK168" s="95">
        <f>CHOOSE(MONTH(AJ168),1,1,1,2,2,2,3,3,3,4,4,4)</f>
        <v/>
      </c>
    </row>
    <row r="169" customFormat="1" s="532">
      <c r="A169" s="82" t="n">
        <v>83</v>
      </c>
      <c r="B169" s="82" t="inlineStr">
        <is>
          <t>姜国标</t>
        </is>
      </c>
      <c r="C169" s="82" t="inlineStr">
        <is>
          <t>南京文石</t>
        </is>
      </c>
      <c r="D169" s="82" t="inlineStr">
        <is>
          <t>男</t>
        </is>
      </c>
      <c r="E169" s="532" t="n">
        <v>15000</v>
      </c>
      <c r="F169" s="218" t="inlineStr">
        <is>
          <t>工资：12000/15K，签订三年合同，试用期6个月，前3个月8折。</t>
        </is>
      </c>
      <c r="G169" s="541" t="inlineStr">
        <is>
          <t>电子签
员工已签署闭环
【项目实际6个月，员工不知情，大概今年12月份释放，可能项目转长期了】
材料齐全
社保公积金补贴  3000元/月</t>
        </is>
      </c>
      <c r="H169" s="218" t="inlineStr">
        <is>
          <t>嵌入式测试工程师（C/C++)</t>
        </is>
      </c>
      <c r="I169" s="533" t="n">
        <v>45819</v>
      </c>
      <c r="J169" s="533" t="inlineStr">
        <is>
          <t>/</t>
        </is>
      </c>
      <c r="K169" s="533" t="n">
        <v>46001</v>
      </c>
      <c r="L169" s="534" t="n">
        <v>45809</v>
      </c>
      <c r="M169" s="82" t="inlineStr">
        <is>
          <t>南京</t>
        </is>
      </c>
      <c r="N169" s="82" t="inlineStr">
        <is>
          <t>南京</t>
        </is>
      </c>
      <c r="O169" s="82" t="n">
        <v>12000</v>
      </c>
      <c r="P169" s="82" t="n">
        <v>15000</v>
      </c>
      <c r="Q169" s="532" t="n">
        <v>0</v>
      </c>
      <c r="R169" s="532" t="n">
        <v>0</v>
      </c>
      <c r="S169" s="532" t="n">
        <v>0</v>
      </c>
      <c r="T169" s="218" t="inlineStr">
        <is>
          <t>第一次合同：3年：
2025/6/11-2028/6/10</t>
        </is>
      </c>
      <c r="U169" s="82" t="inlineStr">
        <is>
          <t>6个月</t>
        </is>
      </c>
      <c r="V169" s="532" t="inlineStr">
        <is>
          <t>审计</t>
        </is>
      </c>
      <c r="W169" s="533" t="n">
        <v>2019.6</v>
      </c>
      <c r="X169" s="532" t="inlineStr">
        <is>
          <t>硕士</t>
        </is>
      </c>
      <c r="Y169" s="223" t="inlineStr">
        <is>
          <t>274662093@qq.com</t>
        </is>
      </c>
      <c r="Z169" s="532" t="inlineStr">
        <is>
          <t>江苏省南京市浦口区江浦街道雨山西路99号</t>
        </is>
      </c>
      <c r="AA169" s="532" t="inlineStr">
        <is>
          <t>江苏省南京市鼓楼区建宁路街道龙湖紫都城1-A317</t>
        </is>
      </c>
      <c r="AB169" s="82" t="inlineStr">
        <is>
          <t>，15651699927</t>
        </is>
      </c>
      <c r="AC169" s="494" t="inlineStr">
        <is>
          <t>341122199412282213</t>
        </is>
      </c>
      <c r="AD169" s="546" t="inlineStr">
        <is>
          <t>6217001370051104016</t>
        </is>
      </c>
      <c r="AE169" s="82" t="inlineStr">
        <is>
          <t>中国建设银行</t>
        </is>
      </c>
      <c r="AF169" s="532" t="n"/>
      <c r="AG169" s="532" t="inlineStr">
        <is>
          <t>是</t>
        </is>
      </c>
      <c r="AH169" s="533" t="inlineStr">
        <is>
          <t>第一次合同：3年：2025/6/11-2028/6/10</t>
        </is>
      </c>
      <c r="AI169" s="82">
        <f>DATEDIF(--TEXT(MID(AC169,7,8),"0-00-00"),TODAY(),"y")</f>
        <v/>
      </c>
      <c r="AJ169" s="548">
        <f>TEXT(MID(AC169,7,8),"0000-00-00")</f>
        <v/>
      </c>
      <c r="AK169" s="95">
        <f>CHOOSE(MONTH(AJ169),1,1,1,2,2,2,3,3,3,4,4,4)</f>
        <v/>
      </c>
    </row>
    <row r="170" customFormat="1" s="549">
      <c r="A170" s="197" t="n">
        <v>168</v>
      </c>
      <c r="B170" s="206" t="inlineStr">
        <is>
          <t>马保淋
（放弃入职）</t>
        </is>
      </c>
      <c r="C170" s="206" t="inlineStr">
        <is>
          <t>/</t>
        </is>
      </c>
      <c r="D170" s="197" t="inlineStr">
        <is>
          <t>男</t>
        </is>
      </c>
      <c r="E170" s="549" t="n">
        <v>39000</v>
      </c>
      <c r="F170" s="206" t="inlineStr">
        <is>
          <t>工资：39K,签订5个月合同，试用期1个月打8折。(缴纳北京五险一金) 
放弃入职了？</t>
        </is>
      </c>
      <c r="G170" s="549" t="inlineStr">
        <is>
          <t>还没入职等等</t>
        </is>
      </c>
      <c r="H170" s="206" t="inlineStr">
        <is>
          <t>QNX软件开发工程师</t>
        </is>
      </c>
      <c r="I170" s="551" t="n">
        <v>45819</v>
      </c>
      <c r="J170" s="551" t="inlineStr">
        <is>
          <t>/</t>
        </is>
      </c>
      <c r="K170" s="533" t="n">
        <v>46001</v>
      </c>
      <c r="L170" s="553" t="inlineStr">
        <is>
          <t>/</t>
        </is>
      </c>
      <c r="M170" s="197" t="inlineStr">
        <is>
          <t>上海</t>
        </is>
      </c>
      <c r="N170" s="206" t="inlineStr">
        <is>
          <t>北京
缴纳北京社保</t>
        </is>
      </c>
      <c r="O170" s="230" t="n">
        <v>31200</v>
      </c>
      <c r="P170" s="230" t="n">
        <v>39000</v>
      </c>
      <c r="Q170" s="532" t="n">
        <v>0</v>
      </c>
      <c r="R170" s="532" t="n">
        <v>0</v>
      </c>
      <c r="S170" s="532" t="n">
        <v>0</v>
      </c>
      <c r="T170" s="549" t="inlineStr">
        <is>
          <t>/</t>
        </is>
      </c>
      <c r="U170" s="549" t="inlineStr">
        <is>
          <t>/</t>
        </is>
      </c>
      <c r="V170" s="549" t="inlineStr">
        <is>
          <t>/</t>
        </is>
      </c>
      <c r="W170" s="551" t="inlineStr">
        <is>
          <t>/</t>
        </is>
      </c>
      <c r="X170" s="549" t="inlineStr">
        <is>
          <t>/</t>
        </is>
      </c>
      <c r="Y170" s="249" t="inlineStr">
        <is>
          <t xml:space="preserve">719587303@qq.com
</t>
        </is>
      </c>
      <c r="Z170" s="549" t="inlineStr">
        <is>
          <t>/</t>
        </is>
      </c>
      <c r="AA170" s="549" t="inlineStr">
        <is>
          <t>/</t>
        </is>
      </c>
      <c r="AB170" s="197" t="inlineStr">
        <is>
          <t xml:space="preserve">，13681135121 </t>
        </is>
      </c>
      <c r="AC170" s="491" t="inlineStr">
        <is>
          <t>230229198211262012</t>
        </is>
      </c>
      <c r="AD170" s="549" t="inlineStr">
        <is>
          <t>/</t>
        </is>
      </c>
      <c r="AE170" s="197" t="inlineStr">
        <is>
          <t>中国建设银行</t>
        </is>
      </c>
      <c r="AF170" s="549" t="n"/>
      <c r="AG170" s="549" t="inlineStr">
        <is>
          <t>否</t>
        </is>
      </c>
      <c r="AH170" s="551" t="inlineStr">
        <is>
          <t>/</t>
        </is>
      </c>
      <c r="AI170" s="82">
        <f>DATEDIF(--TEXT(MID(AC170,7,8),"0-00-00"),TODAY(),"y")</f>
        <v/>
      </c>
      <c r="AJ170" s="548">
        <f>TEXT(MID(AC170,7,8),"0000-00-00")</f>
        <v/>
      </c>
      <c r="AK170" s="95">
        <f>CHOOSE(MONTH(AJ170),1,1,1,2,2,2,3,3,3,4,4,4)</f>
        <v/>
      </c>
    </row>
    <row r="171" customFormat="1" s="532">
      <c r="A171" s="82" t="n">
        <v>84</v>
      </c>
      <c r="B171" s="218" t="inlineStr">
        <is>
          <t>张书金
（大陆芯）</t>
        </is>
      </c>
      <c r="C171" s="218" t="inlineStr">
        <is>
          <t>北京文石</t>
        </is>
      </c>
      <c r="D171" s="82" t="inlineStr">
        <is>
          <t>男</t>
        </is>
      </c>
      <c r="E171" s="532" t="n">
        <v>32000</v>
      </c>
      <c r="F171" s="218" t="inlineStr">
        <is>
          <t>工资：32K，签订三年合同，试用期6个月，不打折。
社保公积金补贴  6000元/月</t>
        </is>
      </c>
      <c r="G171" s="541" t="inlineStr">
        <is>
          <t xml:space="preserve">电子签
员工已签署闭环
【项目实际5个月左右，员工不知情，2026年2月11号合同变长期了且报价调整从4.5w调整为4w】 账单不能扣点
材料齐全
</t>
        </is>
      </c>
      <c r="H171" s="218" t="inlineStr">
        <is>
          <t>数据工具开发工程师</t>
        </is>
      </c>
      <c r="I171" s="533" t="n">
        <v>45819</v>
      </c>
      <c r="J171" s="533" t="inlineStr">
        <is>
          <t>/</t>
        </is>
      </c>
      <c r="K171" s="533" t="n">
        <v>46001</v>
      </c>
      <c r="L171" s="534" t="n">
        <v>45809</v>
      </c>
      <c r="M171" s="82" t="inlineStr">
        <is>
          <t xml:space="preserve">北京 </t>
        </is>
      </c>
      <c r="N171" s="82" t="inlineStr">
        <is>
          <t xml:space="preserve">北京 </t>
        </is>
      </c>
      <c r="O171" s="82" t="inlineStr">
        <is>
          <t>不打折</t>
        </is>
      </c>
      <c r="P171" s="82" t="n">
        <v>32000</v>
      </c>
      <c r="Q171" s="532" t="n">
        <v>0</v>
      </c>
      <c r="R171" s="532" t="n">
        <v>0</v>
      </c>
      <c r="S171" s="532" t="n">
        <v>0</v>
      </c>
      <c r="T171" s="218" t="inlineStr">
        <is>
          <t>第一次合同：3年：
2025/6/11-2028/6/10</t>
        </is>
      </c>
      <c r="U171" s="82" t="inlineStr">
        <is>
          <t>6个月</t>
        </is>
      </c>
      <c r="V171" s="532" t="inlineStr">
        <is>
          <t>信息工程</t>
        </is>
      </c>
      <c r="W171" s="533" t="n">
        <v>42522</v>
      </c>
      <c r="X171" s="532" t="inlineStr">
        <is>
          <t>本科</t>
        </is>
      </c>
      <c r="Y171" s="218" t="inlineStr">
        <is>
          <t xml:space="preserve">1556242729@qq.com 
</t>
        </is>
      </c>
      <c r="Z171" s="532" t="inlineStr">
        <is>
          <t xml:space="preserve"> 河北省邢台市威县张营乡康寺固一村121号</t>
        </is>
      </c>
      <c r="AA171" s="532" t="inlineStr">
        <is>
          <t xml:space="preserve"> 北京市昌平区龙泽园街道国仕汇小区5-1-102</t>
        </is>
      </c>
      <c r="AB171" s="82" t="inlineStr">
        <is>
          <t xml:space="preserve">，18330107862 </t>
        </is>
      </c>
      <c r="AC171" s="494" t="inlineStr">
        <is>
          <t xml:space="preserve">130533198801033313 </t>
        </is>
      </c>
      <c r="AD171" s="546" t="inlineStr">
        <is>
          <t>6217000010084004962</t>
        </is>
      </c>
      <c r="AE171" s="82" t="inlineStr">
        <is>
          <t>中国建设银行</t>
        </is>
      </c>
      <c r="AF171" s="532" t="n"/>
      <c r="AG171" s="532" t="inlineStr">
        <is>
          <t>是</t>
        </is>
      </c>
      <c r="AH171" s="533" t="inlineStr">
        <is>
          <t>第一次合同：3年：2025/6/11-2028/6/10</t>
        </is>
      </c>
      <c r="AI171" s="82">
        <f>DATEDIF(--TEXT(MID(AC171,7,8),"0-00-00"),TODAY(),"y")</f>
        <v/>
      </c>
      <c r="AJ171" s="548">
        <f>TEXT(MID(AC171,7,8),"0000-00-00")</f>
        <v/>
      </c>
      <c r="AK171" s="95">
        <f>CHOOSE(MONTH(AJ171),1,1,1,2,2,2,3,3,3,4,4,4)</f>
        <v/>
      </c>
    </row>
    <row r="172" customFormat="1" s="82">
      <c r="A172" s="82" t="n">
        <v>85</v>
      </c>
      <c r="B172" s="82" t="inlineStr">
        <is>
          <t>达函潇</t>
        </is>
      </c>
      <c r="C172" s="218" t="inlineStr">
        <is>
          <t>北京文石</t>
        </is>
      </c>
      <c r="D172" s="82" t="inlineStr">
        <is>
          <t>男</t>
        </is>
      </c>
      <c r="E172" s="82" t="n">
        <v>15000</v>
      </c>
      <c r="F172" s="218" t="inlineStr">
        <is>
          <t xml:space="preserve">工资：12000/15K，签订三年合同，试用期6个月，前3个月8折
到岗时间：2025年6月16日
社保公积金补贴  3000元/月
</t>
        </is>
      </c>
      <c r="G172" s="251" t="inlineStr">
        <is>
          <t xml:space="preserve">电子签，材料齐全
员工已签署闭环
【员工表示只是简单咨询下后期（1-2年）社保是否可以按照全额缴纳调整，如果调整的话多出费用也愿意自己承担】
</t>
        </is>
      </c>
      <c r="H172" s="82" t="inlineStr">
        <is>
          <t>司机队长</t>
        </is>
      </c>
      <c r="I172" s="533" t="n">
        <v>45824</v>
      </c>
      <c r="J172" s="533" t="inlineStr">
        <is>
          <t>/</t>
        </is>
      </c>
      <c r="K172" s="533" t="n">
        <v>46006</v>
      </c>
      <c r="L172" s="534" t="n">
        <v>45839</v>
      </c>
      <c r="M172" s="82" t="inlineStr">
        <is>
          <t>北京</t>
        </is>
      </c>
      <c r="N172" s="82" t="inlineStr">
        <is>
          <t>北京</t>
        </is>
      </c>
      <c r="O172" s="82" t="inlineStr">
        <is>
          <t>12K</t>
        </is>
      </c>
      <c r="P172" s="82" t="inlineStr">
        <is>
          <t>15K</t>
        </is>
      </c>
      <c r="Q172" s="532" t="n">
        <v>0</v>
      </c>
      <c r="R172" s="532" t="n">
        <v>0</v>
      </c>
      <c r="S172" s="532" t="n">
        <v>0</v>
      </c>
      <c r="T172" s="218" t="inlineStr">
        <is>
          <t>第一次合同：3年：
2025/6/16-2028/6/15</t>
        </is>
      </c>
      <c r="U172" s="82" t="inlineStr">
        <is>
          <t>6个月</t>
        </is>
      </c>
      <c r="V172" s="82" t="inlineStr">
        <is>
          <t>计算机科学应用</t>
        </is>
      </c>
      <c r="W172" s="533" t="n">
        <v>42917</v>
      </c>
      <c r="X172" s="532" t="inlineStr">
        <is>
          <t>大专</t>
        </is>
      </c>
      <c r="Y172" s="218" t="inlineStr">
        <is>
          <t>D977125019@outlook.com
977125019@qq.com</t>
        </is>
      </c>
      <c r="Z172" s="82" t="inlineStr">
        <is>
          <t>成都市青白江区大弯怡湖东路141号1栋19号</t>
        </is>
      </c>
      <c r="AA172" s="82" t="inlineStr">
        <is>
          <t xml:space="preserve"> 北京市昌平区学院路领秀惠谷B63601</t>
        </is>
      </c>
      <c r="AB172" s="82" t="n">
        <v>13693134980</v>
      </c>
      <c r="AC172" s="494" t="inlineStr">
        <is>
          <t>510113199110290415</t>
        </is>
      </c>
      <c r="AD172" s="494" t="inlineStr">
        <is>
          <t>6217000010168797416</t>
        </is>
      </c>
      <c r="AE172" s="82" t="inlineStr">
        <is>
          <t>中国建设银行</t>
        </is>
      </c>
      <c r="AF172" s="532" t="n"/>
      <c r="AG172" s="532" t="inlineStr">
        <is>
          <t>是</t>
        </is>
      </c>
      <c r="AH172" s="533" t="inlineStr">
        <is>
          <t>第一次合同：3年：2025/6/16-2028/6/15</t>
        </is>
      </c>
      <c r="AI172" s="82">
        <f>DATEDIF(--TEXT(MID(AC172,7,8),"0-00-00"),TODAY(),"y")</f>
        <v/>
      </c>
      <c r="AJ172" s="548">
        <f>TEXT(MID(AC172,7,8),"0000-00-00")</f>
        <v/>
      </c>
      <c r="AK172" s="95">
        <f>CHOOSE(MONTH(AJ172),1,1,1,2,2,2,3,3,3,4,4,4)</f>
        <v/>
      </c>
    </row>
    <row r="173" customFormat="1" s="82">
      <c r="A173" s="82" t="n">
        <v>86</v>
      </c>
      <c r="B173" s="218" t="inlineStr">
        <is>
          <t>王骞
（大陆芯）</t>
        </is>
      </c>
      <c r="C173" s="218" t="inlineStr">
        <is>
          <t>南京文石</t>
        </is>
      </c>
      <c r="D173" s="82" t="inlineStr">
        <is>
          <t>男</t>
        </is>
      </c>
      <c r="E173" s="82" t="n">
        <v>22500</v>
      </c>
      <c r="F173" s="218" t="inlineStr">
        <is>
          <t>工资：18000/22.5K,  签订三年合同，试用期6个月，前3个月8折
到岗时间：2025年6月16日（下周一）
社保补贴占6000元已沟通没问题；加班晚21:00后打车报销，餐补≤40元；周末加班调休）</t>
        </is>
      </c>
      <c r="G173" s="251" t="inlineStr">
        <is>
          <t>电子签
员工已签署闭环
（项目实际五个月左右，人选不知情2026年2月11号合同变长期了，报价4w。
材料齐全</t>
        </is>
      </c>
      <c r="H173" s="218" t="inlineStr">
        <is>
          <t>软件框架
（ROS2框架移植)</t>
        </is>
      </c>
      <c r="I173" s="533" t="n">
        <v>45824</v>
      </c>
      <c r="J173" s="533" t="inlineStr">
        <is>
          <t>/</t>
        </is>
      </c>
      <c r="K173" s="533" t="n">
        <v>46006</v>
      </c>
      <c r="L173" s="534" t="n">
        <v>45839</v>
      </c>
      <c r="M173" s="82" t="inlineStr">
        <is>
          <t>南京</t>
        </is>
      </c>
      <c r="N173" s="82" t="inlineStr">
        <is>
          <t>南京</t>
        </is>
      </c>
      <c r="O173" s="82" t="inlineStr">
        <is>
          <t>18K</t>
        </is>
      </c>
      <c r="P173" s="82" t="inlineStr">
        <is>
          <t>22.5K</t>
        </is>
      </c>
      <c r="Q173" s="532" t="n">
        <v>0</v>
      </c>
      <c r="R173" s="532" t="n">
        <v>0</v>
      </c>
      <c r="S173" s="532" t="n">
        <v>0</v>
      </c>
      <c r="T173" s="218" t="inlineStr">
        <is>
          <t>第一次合同：3年：
2025/6/16-2028/6/15</t>
        </is>
      </c>
      <c r="U173" s="82" t="inlineStr">
        <is>
          <t>6个月</t>
        </is>
      </c>
      <c r="V173" s="82" t="inlineStr">
        <is>
          <t>软件工程</t>
        </is>
      </c>
      <c r="W173" s="533" t="n">
        <v>40695</v>
      </c>
      <c r="X173" s="82" t="inlineStr">
        <is>
          <t>本科</t>
        </is>
      </c>
      <c r="Y173" s="82" t="inlineStr">
        <is>
          <t>806138135@qq.com</t>
        </is>
      </c>
      <c r="Z173" s="82" t="inlineStr">
        <is>
          <t>南京市江宁区横溪街道集镇502-66号</t>
        </is>
      </c>
      <c r="AA173" s="82" t="inlineStr">
        <is>
          <t>南京市江宁区禄口街道玺禄苑2栋3单元806室</t>
        </is>
      </c>
      <c r="AB173" s="82" t="n">
        <v>18066117862</v>
      </c>
      <c r="AC173" s="494" t="inlineStr">
        <is>
          <t>320121198905112735</t>
        </is>
      </c>
      <c r="AD173" s="494" t="inlineStr">
        <is>
          <t>6215340302640940646</t>
        </is>
      </c>
      <c r="AE173" s="82" t="inlineStr">
        <is>
          <t>中国建设银行</t>
        </is>
      </c>
      <c r="AF173" s="532" t="n"/>
      <c r="AG173" s="532" t="inlineStr">
        <is>
          <t>是</t>
        </is>
      </c>
      <c r="AH173" s="533" t="inlineStr">
        <is>
          <t>第一次合同：3年：2025/6/16-2028/6/15</t>
        </is>
      </c>
      <c r="AI173" s="82">
        <f>DATEDIF(--TEXT(MID(AC173,7,8),"0-00-00"),TODAY(),"y")</f>
        <v/>
      </c>
      <c r="AJ173" s="548">
        <f>TEXT(MID(AC173,7,8),"0000-00-00")</f>
        <v/>
      </c>
      <c r="AK173" s="95">
        <f>CHOOSE(MONTH(AJ173),1,1,1,2,2,2,3,3,3,4,4,4)</f>
        <v/>
      </c>
    </row>
    <row r="174" ht="232" customFormat="1" customHeight="1" s="82">
      <c r="A174" s="82" t="n">
        <v>87</v>
      </c>
      <c r="B174" s="82" t="inlineStr">
        <is>
          <t>胡伍峰-挂靠</t>
        </is>
      </c>
      <c r="C174" s="82" t="inlineStr">
        <is>
          <t>上海文石</t>
        </is>
      </c>
      <c r="D174" s="82" t="inlineStr">
        <is>
          <t>男</t>
        </is>
      </c>
      <c r="E174" s="82" t="n">
        <v>15450</v>
      </c>
      <c r="F174" s="218" t="inlineStr">
        <is>
          <t>工资：签订三年合同，试用期6个月，前3个月8折
试用期前三个月税前薪资：10960+社保补贴1750，合计 12710 元/月。；试用期后三个月及转正后税前薪资：13700+社保补贴1750，合计 15450 元/月。
【薪资+社保补贴以后再计算个税】。社保最低档，公积金13700*5%=9780*7%基数,文石实打实承担，=13700*5%基数
到岗时间：2025年6月16日（下周一）</t>
        </is>
      </c>
      <c r="G174" s="251" t="inlineStr">
        <is>
          <t>电子签
员工已签署闭环
【脱敏6个月】6个月转回
材料齐全
社保公积金补贴1750元/月</t>
        </is>
      </c>
      <c r="H174" s="82" t="inlineStr">
        <is>
          <t>实车测试工程师</t>
        </is>
      </c>
      <c r="I174" s="533" t="n">
        <v>45824</v>
      </c>
      <c r="J174" s="533" t="inlineStr">
        <is>
          <t>/</t>
        </is>
      </c>
      <c r="K174" s="533" t="n">
        <v>46006</v>
      </c>
      <c r="L174" s="534" t="n">
        <v>45839</v>
      </c>
      <c r="M174" s="82" t="inlineStr">
        <is>
          <t>上海</t>
        </is>
      </c>
      <c r="N174" s="82" t="inlineStr">
        <is>
          <t>上海</t>
        </is>
      </c>
      <c r="O174" s="82" t="n">
        <v>12710</v>
      </c>
      <c r="P174" s="82" t="n">
        <v>15450</v>
      </c>
      <c r="Q174" s="532" t="n">
        <v>0</v>
      </c>
      <c r="R174" s="532" t="n">
        <v>0</v>
      </c>
      <c r="S174" s="532" t="n">
        <v>0</v>
      </c>
      <c r="T174" s="218" t="inlineStr">
        <is>
          <t>第一次合同：3年：
2025/6/16-2028/6/15</t>
        </is>
      </c>
      <c r="U174" s="82" t="inlineStr">
        <is>
          <t>6个月</t>
        </is>
      </c>
      <c r="V174" s="82" t="inlineStr">
        <is>
          <t xml:space="preserve">  建筑工程技术</t>
        </is>
      </c>
      <c r="W174" s="244" t="n">
        <v>44713</v>
      </c>
      <c r="X174" s="82" t="inlineStr">
        <is>
          <t>专科</t>
        </is>
      </c>
      <c r="Y174" s="219" t="inlineStr">
        <is>
          <t>1461860981@qq.com</t>
        </is>
      </c>
      <c r="Z174" s="82" t="inlineStr">
        <is>
          <t>湖北省利川市团堡镇大坝村4组1号</t>
        </is>
      </c>
      <c r="AA174" s="82" t="inlineStr">
        <is>
          <t>上海市嘉定区南苑4村50号楼402</t>
        </is>
      </c>
      <c r="AB174" s="82" t="n">
        <v>13277273554</v>
      </c>
      <c r="AC174" s="494" t="inlineStr">
        <is>
          <t>422802199909211713</t>
        </is>
      </c>
      <c r="AD174" s="494" t="inlineStr">
        <is>
          <t>6215340301710461079</t>
        </is>
      </c>
      <c r="AE174" s="82" t="inlineStr">
        <is>
          <t>中国建设银行</t>
        </is>
      </c>
      <c r="AF174" s="532" t="n"/>
      <c r="AG174" s="532" t="inlineStr">
        <is>
          <t>是</t>
        </is>
      </c>
      <c r="AH174" s="533" t="inlineStr">
        <is>
          <t>第一次合同：3年：2025/6/16-2028/6/15</t>
        </is>
      </c>
      <c r="AI174" s="82">
        <f>DATEDIF(--TEXT(MID(AC174,7,8),"0-00-00"),TODAY(),"y")</f>
        <v/>
      </c>
      <c r="AJ174" s="548">
        <f>TEXT(MID(AC174,7,8),"0000-00-00")</f>
        <v/>
      </c>
      <c r="AK174" s="95">
        <f>CHOOSE(MONTH(AJ174),1,1,1,2,2,2,3,3,3,4,4,4)</f>
        <v/>
      </c>
    </row>
    <row r="175" customFormat="1" s="549">
      <c r="A175" s="197" t="n">
        <v>173</v>
      </c>
      <c r="B175" s="550" t="inlineStr">
        <is>
          <t>陈晓伍
（小米项目）
2025年6月16日已离职）</t>
        </is>
      </c>
      <c r="C175" s="550" t="inlineStr">
        <is>
          <t>/</t>
        </is>
      </c>
      <c r="D175" s="197" t="inlineStr">
        <is>
          <t>男</t>
        </is>
      </c>
      <c r="E175" s="549" t="n">
        <v>15000</v>
      </c>
      <c r="F175" s="550" t="inlineStr">
        <is>
          <t>工资：15K，签订三年合同，
试用期6个月，前3个月打8折。</t>
        </is>
      </c>
      <c r="G175" s="550" t="inlineStr">
        <is>
          <t>合同也没签署 
客户不给结算 
员工也不签署材料
（小米项目）
2025.6.10入职，2025.616离职，客户不给结算</t>
        </is>
      </c>
      <c r="H175" s="549" t="inlineStr">
        <is>
          <t>软件测试工程师</t>
        </is>
      </c>
      <c r="I175" s="551" t="n">
        <v>45818</v>
      </c>
      <c r="J175" s="252" t="inlineStr">
        <is>
          <t>2025/6/16lastday主动离职</t>
        </is>
      </c>
      <c r="K175" s="533" t="inlineStr">
        <is>
          <t>/</t>
        </is>
      </c>
      <c r="L175" s="553" t="n">
        <v>45839</v>
      </c>
      <c r="M175" s="197" t="inlineStr">
        <is>
          <t>南京</t>
        </is>
      </c>
      <c r="N175" s="197" t="inlineStr">
        <is>
          <t>南京</t>
        </is>
      </c>
      <c r="O175" s="554" t="inlineStr">
        <is>
          <t>/</t>
        </is>
      </c>
      <c r="P175" s="554" t="inlineStr">
        <is>
          <t>/</t>
        </is>
      </c>
      <c r="Q175" s="532" t="n">
        <v>0</v>
      </c>
      <c r="R175" s="532" t="n">
        <v>0</v>
      </c>
      <c r="S175" s="532" t="n">
        <v>0</v>
      </c>
      <c r="T175" s="206" t="inlineStr">
        <is>
          <t>未签署合同：
2025.6.10入职-2025.6.16离职</t>
        </is>
      </c>
      <c r="U175" s="197" t="inlineStr">
        <is>
          <t>6个月</t>
        </is>
      </c>
      <c r="V175" s="549" t="inlineStr">
        <is>
          <t>/</t>
        </is>
      </c>
      <c r="W175" s="551" t="inlineStr">
        <is>
          <t>/</t>
        </is>
      </c>
      <c r="X175" s="549" t="inlineStr">
        <is>
          <t>/</t>
        </is>
      </c>
      <c r="Y175" s="557" t="inlineStr">
        <is>
          <t>five3@163.com</t>
        </is>
      </c>
      <c r="Z175" s="549" t="inlineStr">
        <is>
          <t>/</t>
        </is>
      </c>
      <c r="AA175" s="197" t="inlineStr">
        <is>
          <t>/</t>
        </is>
      </c>
      <c r="AB175" s="197" t="n">
        <v>18256061101</v>
      </c>
      <c r="AC175" s="549" t="inlineStr">
        <is>
          <t>34262319861101895X</t>
        </is>
      </c>
      <c r="AD175" s="549" t="inlineStr">
        <is>
          <t>/</t>
        </is>
      </c>
      <c r="AE175" s="549" t="inlineStr">
        <is>
          <t>/</t>
        </is>
      </c>
      <c r="AF175" s="549" t="n"/>
      <c r="AG175" s="549" t="inlineStr">
        <is>
          <t>否</t>
        </is>
      </c>
      <c r="AH175" s="551" t="inlineStr">
        <is>
          <t>离职啦</t>
        </is>
      </c>
      <c r="AI175" s="82">
        <f>DATEDIF(--TEXT(MID(AC175,7,8),"0-00-00"),TODAY(),"y")</f>
        <v/>
      </c>
      <c r="AJ175" s="548">
        <f>TEXT(MID(AC175,7,8),"0000-00-00")</f>
        <v/>
      </c>
      <c r="AK175" s="95">
        <f>CHOOSE(MONTH(AJ175),1,1,1,2,2,2,3,3,3,4,4,4)</f>
        <v/>
      </c>
    </row>
    <row r="176" s="558">
      <c r="A176" s="82" t="n">
        <v>88</v>
      </c>
      <c r="B176" s="82" t="inlineStr">
        <is>
          <t>冯金帅</t>
        </is>
      </c>
      <c r="C176" s="218" t="inlineStr">
        <is>
          <t>北京文石</t>
        </is>
      </c>
      <c r="D176" s="82" t="inlineStr">
        <is>
          <t>男</t>
        </is>
      </c>
      <c r="E176" s="532" t="n">
        <v>18000</v>
      </c>
      <c r="F176" s="218" t="inlineStr">
        <is>
          <t>工作：14400/18k，签订三年合同，试用期6个月，前3个月8折
【社保公积金占3000元已沟通，没问题】
到岗时间：2025年6月25日</t>
        </is>
      </c>
      <c r="G176" s="218" t="inlineStr">
        <is>
          <t>电子签
员工已签署闭环
开始最完备合同
材料齐全
社保公积金补贴3000元/月</t>
        </is>
      </c>
      <c r="H176" s="82" t="inlineStr">
        <is>
          <t>硬件测试工程师</t>
        </is>
      </c>
      <c r="I176" s="533" t="n">
        <v>45833</v>
      </c>
      <c r="J176" s="533" t="inlineStr">
        <is>
          <t>/</t>
        </is>
      </c>
      <c r="K176" s="533" t="n">
        <v>46015</v>
      </c>
      <c r="L176" s="534" t="n">
        <v>45839</v>
      </c>
      <c r="M176" s="82" t="inlineStr">
        <is>
          <t>北京</t>
        </is>
      </c>
      <c r="N176" s="82" t="inlineStr">
        <is>
          <t>北京</t>
        </is>
      </c>
      <c r="O176" s="82" t="inlineStr">
        <is>
          <t>14.4K</t>
        </is>
      </c>
      <c r="P176" s="82" t="inlineStr">
        <is>
          <t>18K</t>
        </is>
      </c>
      <c r="Q176" s="532" t="n">
        <v>0</v>
      </c>
      <c r="R176" s="532" t="n">
        <v>0</v>
      </c>
      <c r="S176" s="532" t="n">
        <v>0</v>
      </c>
      <c r="T176" s="218" t="inlineStr">
        <is>
          <t>第一次合同：3年：
2025/6/25-2028/6/24</t>
        </is>
      </c>
      <c r="U176" s="82" t="inlineStr">
        <is>
          <t>6个月</t>
        </is>
      </c>
      <c r="V176" s="532" t="inlineStr">
        <is>
          <t>机械制造与自动化</t>
        </is>
      </c>
      <c r="W176" s="533" t="inlineStr">
        <is>
          <t xml:space="preserve"> 2016/6/24</t>
        </is>
      </c>
      <c r="X176" s="532" t="inlineStr">
        <is>
          <t>专科</t>
        </is>
      </c>
      <c r="Y176" s="82" t="inlineStr">
        <is>
          <t>1204908935@qq.com</t>
        </is>
      </c>
      <c r="Z176" s="82" t="inlineStr">
        <is>
          <t>山东省冠县辛集镇白官屯村231号</t>
        </is>
      </c>
      <c r="AA176" s="82" t="inlineStr">
        <is>
          <t>北京昌平区松兰堡蓝天幼儿园114</t>
        </is>
      </c>
      <c r="AB176" s="82" t="n">
        <v>15863503826</v>
      </c>
      <c r="AC176" s="494" t="inlineStr">
        <is>
          <t>371525199309174413</t>
        </is>
      </c>
      <c r="AD176" s="82" t="inlineStr">
        <is>
          <t>6215 3403 0000 8156 698</t>
        </is>
      </c>
      <c r="AE176" s="82" t="inlineStr">
        <is>
          <t>中国建设银行</t>
        </is>
      </c>
      <c r="AF176" s="82" t="n"/>
      <c r="AG176" s="532" t="inlineStr">
        <is>
          <t>是</t>
        </is>
      </c>
      <c r="AH176" s="533" t="inlineStr">
        <is>
          <t>第一次合同：3年：2025/6/25-2028/6/24</t>
        </is>
      </c>
      <c r="AI176" s="82">
        <f>DATEDIF(--TEXT(MID(AC176,7,8),"0-00-00"),TODAY(),"y")</f>
        <v/>
      </c>
      <c r="AJ176" s="548">
        <f>TEXT(MID(AC176,7,8),"0000-00-00")</f>
        <v/>
      </c>
      <c r="AK176" s="95">
        <f>CHOOSE(MONTH(AJ176),1,1,1,2,2,2,3,3,3,4,4,4)</f>
        <v/>
      </c>
    </row>
    <row r="177" customFormat="1" s="549">
      <c r="A177" s="197" t="n">
        <v>99</v>
      </c>
      <c r="B177" s="550" t="inlineStr">
        <is>
          <t>刘迪
（2025/9/5主动离职）</t>
        </is>
      </c>
      <c r="C177" s="550" t="inlineStr">
        <is>
          <t>/</t>
        </is>
      </c>
      <c r="D177" s="197" t="inlineStr">
        <is>
          <t>男</t>
        </is>
      </c>
      <c r="E177" s="549" t="n">
        <v>14500</v>
      </c>
      <c r="F177" s="550" t="inlineStr">
        <is>
          <t>工资：11600/14.5K，签订3年合同，试用期6个月，前3个月8折
到岗时间：2025年6月30日
试用期：基本工资 2420 元/月，绩效工资 3090 元/月，外派津贴 3090 元/月，社保公积
金补贴 3000 元/月 ,合计 11600 元/月。
转正：基本工资 2420 元/月，绩效工资 4540 元/月，外派津贴 4540 元/月，社保公积金
补贴 3000 元/月 ,合计 14500 元/月。</t>
        </is>
      </c>
      <c r="G177" s="550" t="inlineStr">
        <is>
          <t>电子签
员工已签署闭环
材料齐全
社保公积金补贴3000元/月
（因为年假和调休还有很多天，公司不给转薪资，离职证明会在7月15日左右拿到）</t>
        </is>
      </c>
      <c r="H177" s="549" t="inlineStr">
        <is>
          <t>前端开发工程师
（可视化方向）</t>
        </is>
      </c>
      <c r="I177" s="551" t="n">
        <v>45838</v>
      </c>
      <c r="J177" s="261" t="inlineStr">
        <is>
          <t>2025/9/5主动离职
和领导有矛盾吧</t>
        </is>
      </c>
      <c r="K177" s="533" t="n">
        <v>46020</v>
      </c>
      <c r="L177" s="553" t="n">
        <v>45839</v>
      </c>
      <c r="M177" s="197" t="inlineStr">
        <is>
          <t>北京</t>
        </is>
      </c>
      <c r="N177" s="197" t="inlineStr">
        <is>
          <t>北京</t>
        </is>
      </c>
      <c r="O177" s="554" t="n">
        <v>11600</v>
      </c>
      <c r="P177" s="554" t="n">
        <v>14500</v>
      </c>
      <c r="Q177" s="532" t="n">
        <v>0</v>
      </c>
      <c r="R177" s="532" t="n">
        <v>0</v>
      </c>
      <c r="S177" s="532" t="n">
        <v>0</v>
      </c>
      <c r="T177" s="206" t="inlineStr">
        <is>
          <t>第一次合同：3年：
2025/6/30-2028/6/29</t>
        </is>
      </c>
      <c r="U177" s="197" t="inlineStr">
        <is>
          <t>6个月</t>
        </is>
      </c>
      <c r="V177" s="549" t="inlineStr">
        <is>
          <t>软件工程</t>
        </is>
      </c>
      <c r="W177" s="551" t="n">
        <v>43617</v>
      </c>
      <c r="X177" s="549" t="inlineStr">
        <is>
          <t>本科</t>
        </is>
      </c>
      <c r="Y177" s="557" t="inlineStr">
        <is>
          <t>ld977727674@163.com</t>
        </is>
      </c>
      <c r="Z177" s="549" t="inlineStr">
        <is>
          <t>黑龙江省尚志市尚志镇丁山村永合屯174号</t>
        </is>
      </c>
      <c r="AA177" s="197" t="inlineStr">
        <is>
          <t xml:space="preserve">北京市朝阳区小红门65号院3单元1002 </t>
        </is>
      </c>
      <c r="AB177" s="197" t="n">
        <v>15114562556</v>
      </c>
      <c r="AC177" s="556" t="inlineStr">
        <is>
          <t>230183199711160714</t>
        </is>
      </c>
      <c r="AD177" s="549" t="inlineStr">
        <is>
          <t>6217 0011 4003 5894630</t>
        </is>
      </c>
      <c r="AE177" s="549" t="inlineStr">
        <is>
          <t>中国建设银行</t>
        </is>
      </c>
      <c r="AF177" s="549" t="n"/>
      <c r="AG177" s="549" t="inlineStr">
        <is>
          <t>否</t>
        </is>
      </c>
      <c r="AH177" s="551" t="inlineStr">
        <is>
          <t>第一次合同：3年：2025/6/30-2028/6/29</t>
        </is>
      </c>
      <c r="AI177" s="82">
        <f>DATEDIF(--TEXT(MID(AC177,7,8),"0-00-00"),TODAY(),"y")</f>
        <v/>
      </c>
      <c r="AJ177" s="548">
        <f>TEXT(MID(AC177,7,8),"0000-00-00")</f>
        <v/>
      </c>
      <c r="AK177" s="95">
        <f>CHOOSE(MONTH(AJ177),1,1,1,2,2,2,3,3,3,4,4,4)</f>
        <v/>
      </c>
    </row>
    <row r="178" s="558">
      <c r="A178" s="82" t="n">
        <v>89</v>
      </c>
      <c r="B178" s="82" t="inlineStr">
        <is>
          <t>潘冰杰</t>
        </is>
      </c>
      <c r="C178" s="82" t="inlineStr">
        <is>
          <t>上海文石</t>
        </is>
      </c>
      <c r="D178" s="82" t="inlineStr">
        <is>
          <t>男</t>
        </is>
      </c>
      <c r="E178" s="532" t="n">
        <v>10500</v>
      </c>
      <c r="F178" s="218" t="inlineStr">
        <is>
          <t>工资：8400/10.5K,签订3年合同，试用期6个月，前3个月8折
到岗时间：2025年7月7日
试用期：基本工资 2600元/月，绩效工资 2250 元/月，外派津贴2250元/月，社保公积金补贴1300 元/月 ,合计 8400 元/月。
转正：基本工资 2600元/月，绩效工资 3300 元/月，外派津贴3300元/月，社保公积金补贴1300 元/月 ,合计 10500元/月。</t>
        </is>
      </c>
      <c r="G178" s="218" t="inlineStr">
        <is>
          <t>电子签
员工已签署闭环
材料齐全
社保公积金补贴1300元/月</t>
        </is>
      </c>
      <c r="H178" s="82" t="inlineStr">
        <is>
          <t>智能驾驶整车改装工程师</t>
        </is>
      </c>
      <c r="I178" s="533" t="n">
        <v>45845</v>
      </c>
      <c r="J178" s="533" t="inlineStr">
        <is>
          <t>/</t>
        </is>
      </c>
      <c r="K178" s="533" t="n">
        <v>46028</v>
      </c>
      <c r="L178" s="534" t="n">
        <v>45839</v>
      </c>
      <c r="M178" s="82" t="inlineStr">
        <is>
          <t>上海</t>
        </is>
      </c>
      <c r="N178" s="82" t="inlineStr">
        <is>
          <t>上海</t>
        </is>
      </c>
      <c r="O178" s="82" t="inlineStr">
        <is>
          <t>8.4K</t>
        </is>
      </c>
      <c r="P178" s="82" t="inlineStr">
        <is>
          <t>10.5K</t>
        </is>
      </c>
      <c r="Q178" s="532" t="n">
        <v>0</v>
      </c>
      <c r="R178" s="532" t="n">
        <v>0</v>
      </c>
      <c r="S178" s="532" t="n">
        <v>0</v>
      </c>
      <c r="T178" s="218" t="inlineStr">
        <is>
          <t>第一次合同：3年：
2025/7/7-2028/7/6</t>
        </is>
      </c>
      <c r="U178" s="82" t="inlineStr">
        <is>
          <t>6个月</t>
        </is>
      </c>
      <c r="V178" s="532" t="inlineStr">
        <is>
          <t>汽车试验与试验技术</t>
        </is>
      </c>
      <c r="W178" s="533" t="inlineStr">
        <is>
          <t xml:space="preserve"> 2025/7/01</t>
        </is>
      </c>
      <c r="X178" s="532" t="inlineStr">
        <is>
          <t>大专</t>
        </is>
      </c>
      <c r="Y178" s="82" t="inlineStr">
        <is>
          <t>1014057638@qq.com</t>
        </is>
      </c>
      <c r="Z178" s="82" t="inlineStr">
        <is>
          <t>河南省商水县邓城镇大陈村四组</t>
        </is>
      </c>
      <c r="AA178" s="532" t="inlineStr">
        <is>
          <t>上海市浦东新区高桥镇凌桥镇西新村高沙滩68号</t>
        </is>
      </c>
      <c r="AB178" s="82" t="n">
        <v>15936969304</v>
      </c>
      <c r="AC178" s="82" t="inlineStr">
        <is>
          <t>41272319980615161X</t>
        </is>
      </c>
      <c r="AD178" s="494" t="inlineStr">
        <is>
          <t>6217001180064663126</t>
        </is>
      </c>
      <c r="AE178" s="82" t="inlineStr">
        <is>
          <t>中国建设银行</t>
        </is>
      </c>
      <c r="AG178" s="532" t="inlineStr">
        <is>
          <t>是</t>
        </is>
      </c>
      <c r="AH178" s="533" t="inlineStr">
        <is>
          <t>第一次合同：3年：2025/7/7-2028/7/6</t>
        </is>
      </c>
      <c r="AI178" s="82">
        <f>DATEDIF(--TEXT(MID(AC178,7,8),"0-00-00"),TODAY(),"y")</f>
        <v/>
      </c>
      <c r="AJ178" s="548">
        <f>TEXT(MID(AC178,7,8),"0000-00-00")</f>
        <v/>
      </c>
      <c r="AK178" s="95">
        <f>CHOOSE(MONTH(AJ178),1,1,1,2,2,2,3,3,3,4,4,4)</f>
        <v/>
      </c>
    </row>
    <row r="179" customFormat="1" s="549">
      <c r="A179" s="197" t="n">
        <v>177</v>
      </c>
      <c r="B179" s="550" t="inlineStr">
        <is>
          <t>荣耀楠
（自研文武项目）-2025/7/31日lastday</t>
        </is>
      </c>
      <c r="C179" s="550" t="inlineStr">
        <is>
          <t>/</t>
        </is>
      </c>
      <c r="D179" s="197" t="inlineStr">
        <is>
          <t>男</t>
        </is>
      </c>
      <c r="E179" s="549" t="n">
        <v>11000</v>
      </c>
      <c r="F179" s="550" t="inlineStr">
        <is>
          <t xml:space="preserve">工资:11k，签订三个月短期合同，薪资不打折。
基本工资 2500 元/月，绩效工资 3550 元/月，福利津贴 3025 元/月，社保公积金补贴 1925元/月，合计 11000 元/月。
</t>
        </is>
      </c>
      <c r="G179" s="550" t="inlineStr">
        <is>
          <t>电子签
员工已签署闭环
如果项目短期结束，500/月补贴。
材料齐全
社保公积金补贴1300元/月</t>
        </is>
      </c>
      <c r="H179" s="549" t="inlineStr">
        <is>
          <t>java开发工程师</t>
        </is>
      </c>
      <c r="I179" s="551" t="n">
        <v>45845</v>
      </c>
      <c r="J179" s="252" t="inlineStr">
        <is>
          <t>2025/7/31日lastday主动离职转给文武了</t>
        </is>
      </c>
      <c r="K179" s="533" t="inlineStr">
        <is>
          <t>短期不打折</t>
        </is>
      </c>
      <c r="L179" s="553" t="n">
        <v>45839</v>
      </c>
      <c r="M179" s="197" t="inlineStr">
        <is>
          <t>南京</t>
        </is>
      </c>
      <c r="N179" s="197" t="inlineStr">
        <is>
          <t>南京</t>
        </is>
      </c>
      <c r="O179" s="554" t="inlineStr">
        <is>
          <t>11k</t>
        </is>
      </c>
      <c r="P179" s="554" t="inlineStr">
        <is>
          <t>11k</t>
        </is>
      </c>
      <c r="Q179" s="532" t="n">
        <v>0</v>
      </c>
      <c r="R179" s="532" t="n">
        <v>0</v>
      </c>
      <c r="S179" s="532" t="n">
        <v>0</v>
      </c>
      <c r="T179" s="206" t="inlineStr">
        <is>
          <t>第一次合同：短期项目制，
预计3个月：2025/7/7-2025/10/6？</t>
        </is>
      </c>
      <c r="U179" s="197" t="inlineStr">
        <is>
          <t>/</t>
        </is>
      </c>
      <c r="V179" s="549" t="inlineStr">
        <is>
          <t>软件工程</t>
        </is>
      </c>
      <c r="W179" s="551" t="inlineStr">
        <is>
          <t xml:space="preserve"> 2020.6.30</t>
        </is>
      </c>
      <c r="X179" s="549" t="inlineStr">
        <is>
          <t>大专</t>
        </is>
      </c>
      <c r="Y179" s="557" t="inlineStr">
        <is>
          <t>2764254334@qq.com</t>
        </is>
      </c>
      <c r="Z179" s="549" t="inlineStr">
        <is>
          <t>河南省唐河县古城乡文抗村四组B3区7排3号</t>
        </is>
      </c>
      <c r="AA179" s="197" t="inlineStr">
        <is>
          <t>江苏省南京市文景花园9-1-502</t>
        </is>
      </c>
      <c r="AB179" s="197" t="n">
        <v>18362963477</v>
      </c>
      <c r="AC179" s="556" t="inlineStr">
        <is>
          <t>411323200006193814</t>
        </is>
      </c>
      <c r="AD179" s="556" t="inlineStr">
        <is>
          <t>6214671370021563057</t>
        </is>
      </c>
      <c r="AE179" s="549" t="inlineStr">
        <is>
          <t>中国建设银行</t>
        </is>
      </c>
      <c r="AF179" s="549" t="n"/>
      <c r="AG179" s="549" t="inlineStr">
        <is>
          <t>否</t>
        </is>
      </c>
      <c r="AH179" s="551" t="inlineStr">
        <is>
          <t>第一次合同：短期项目制，
预计3个月：2025/7/7-2025/10/6？</t>
        </is>
      </c>
      <c r="AI179" s="82">
        <f>DATEDIF(--TEXT(MID(AC179,7,8),"0-00-00"),TODAY(),"y")</f>
        <v/>
      </c>
      <c r="AJ179" s="548">
        <f>TEXT(MID(AC179,7,8),"0000-00-00")</f>
        <v/>
      </c>
      <c r="AK179" s="95">
        <f>CHOOSE(MONTH(AJ179),1,1,1,2,2,2,3,3,3,4,4,4)</f>
        <v/>
      </c>
    </row>
    <row r="180" customFormat="1" s="549">
      <c r="A180" s="197" t="n">
        <v>178</v>
      </c>
      <c r="B180" s="550" t="inlineStr">
        <is>
          <t>刘鹏
（自研文武项目）2025/7/31日lastday</t>
        </is>
      </c>
      <c r="C180" s="550" t="inlineStr">
        <is>
          <t>/</t>
        </is>
      </c>
      <c r="D180" s="197" t="inlineStr">
        <is>
          <t>男</t>
        </is>
      </c>
      <c r="E180" s="549" t="n">
        <v>10500</v>
      </c>
      <c r="F180" s="550" t="inlineStr">
        <is>
          <t>工资：10.5K，签订三个月短期合同，不打折
基本工资：2500,绩效：3150,外派津贴：3150,社保公积金补贴：1700</t>
        </is>
      </c>
      <c r="G180" s="550" t="inlineStr">
        <is>
          <t>电子签
员工已签署闭环
（如果项目短期结束，500/月补贴，3个月共1500。社保公积金共1700元，已沟通没问题）
材料齐全
社保公积金补贴1700元/月</t>
        </is>
      </c>
      <c r="H180" s="549" t="inlineStr">
        <is>
          <t>java开发工程师</t>
        </is>
      </c>
      <c r="I180" s="551" t="n">
        <v>45856</v>
      </c>
      <c r="J180" s="252" t="inlineStr">
        <is>
          <t>2025/7/31日lastday主动离职转给文武了</t>
        </is>
      </c>
      <c r="K180" s="533" t="inlineStr">
        <is>
          <t>短期不打折</t>
        </is>
      </c>
      <c r="L180" s="553" t="n">
        <v>45870</v>
      </c>
      <c r="M180" s="197" t="inlineStr">
        <is>
          <t>南京</t>
        </is>
      </c>
      <c r="N180" s="197" t="inlineStr">
        <is>
          <t>南京</t>
        </is>
      </c>
      <c r="O180" s="554" t="inlineStr">
        <is>
          <t>10.5K</t>
        </is>
      </c>
      <c r="P180" s="554" t="inlineStr">
        <is>
          <t>10.5K</t>
        </is>
      </c>
      <c r="Q180" s="532" t="n">
        <v>0</v>
      </c>
      <c r="R180" s="532" t="n">
        <v>0</v>
      </c>
      <c r="S180" s="532" t="n">
        <v>0</v>
      </c>
      <c r="T180" s="206" t="inlineStr">
        <is>
          <t>第一次合同：短期项目制，
预计3个月：2025/7/18-2025/10/6？</t>
        </is>
      </c>
      <c r="U180" s="197" t="inlineStr">
        <is>
          <t>/</t>
        </is>
      </c>
      <c r="V180" s="549" t="inlineStr">
        <is>
          <t>计算机网络技术</t>
        </is>
      </c>
      <c r="W180" s="551" t="inlineStr">
        <is>
          <t xml:space="preserve"> 2020.6.30</t>
        </is>
      </c>
      <c r="X180" s="549" t="inlineStr">
        <is>
          <t>专科</t>
        </is>
      </c>
      <c r="Y180" s="557" t="inlineStr">
        <is>
          <t>lp13347830616@163.com</t>
        </is>
      </c>
      <c r="Z180" s="549" t="inlineStr">
        <is>
          <t>江苏省睢宁县古邳镇骑河村337号</t>
        </is>
      </c>
      <c r="AA180" s="197" t="inlineStr">
        <is>
          <t xml:space="preserve"> 江苏省南京市栖霞区燕子矶街道华侨城燕熙台</t>
        </is>
      </c>
      <c r="AB180" s="197" t="n">
        <v>13347830616</v>
      </c>
      <c r="AC180" s="556" t="inlineStr">
        <is>
          <t>320324199905101571</t>
        </is>
      </c>
      <c r="AD180" s="549" t="inlineStr">
        <is>
          <t>6217 0013 7003 1118 409</t>
        </is>
      </c>
      <c r="AE180" s="549" t="inlineStr">
        <is>
          <t>中国建设银行</t>
        </is>
      </c>
      <c r="AF180" s="549" t="n"/>
      <c r="AG180" s="549" t="inlineStr">
        <is>
          <t>否</t>
        </is>
      </c>
      <c r="AH180" s="551" t="inlineStr">
        <is>
          <t>第一次合同：短期项目制，
预计3个月：2025/7/7-2025/10/6？</t>
        </is>
      </c>
      <c r="AI180" s="82">
        <f>DATEDIF(--TEXT(MID(AC180,7,8),"0-00-00"),TODAY(),"y")</f>
        <v/>
      </c>
      <c r="AJ180" s="548">
        <f>TEXT(MID(AC180,7,8),"0000-00-00")</f>
        <v/>
      </c>
      <c r="AK180" s="95">
        <f>CHOOSE(MONTH(AJ180),1,1,1,2,2,2,3,3,3,4,4,4)</f>
        <v/>
      </c>
    </row>
    <row r="181" ht="124" customHeight="1" s="558">
      <c r="A181" s="82" t="n">
        <v>90</v>
      </c>
      <c r="B181" s="264" t="inlineStr">
        <is>
          <t>徐亚星</t>
        </is>
      </c>
      <c r="C181" s="265" t="inlineStr">
        <is>
          <t>北京文石</t>
        </is>
      </c>
      <c r="D181" s="264" t="inlineStr">
        <is>
          <t>男</t>
        </is>
      </c>
      <c r="E181" s="532" t="n">
        <v>25000</v>
      </c>
      <c r="F181" s="266" t="inlineStr">
        <is>
          <t>工资：25K,签订3年合同，试用期6个月，前3个月8折。实际用工半年！员工不知情，最终2026年4月29日汪总确认徐亚星转长期了，合同不用发起因为本身就是长期三年合同。
试用期：基本工资 2420元/月，绩效工资5840 元/月，外派津贴5840元/月，社保公积金补贴5900 元/月 ,合计 20000 元/月。
转正：基本工资 2420元/月，绩效工资 8340 元/月，外派津贴8340元/月，社保公积金补贴5900 元/月 ,合计25000元/月。
到岗时间：2025年8月18日</t>
        </is>
      </c>
      <c r="G181" s="267" t="inlineStr">
        <is>
          <t>电子签
员工已签署闭环
材料齐全
【注意：实际用工半年！】 最终2026年4月29日汪总确认徐亚星转长期了，合同不用发起因为本身就是长期三年合同。</t>
        </is>
      </c>
      <c r="H181" s="268" t="inlineStr">
        <is>
          <t>智能驾驶中间件软件开发工程师</t>
        </is>
      </c>
      <c r="I181" s="269" t="n">
        <v>45887</v>
      </c>
      <c r="J181" s="533" t="inlineStr">
        <is>
          <t>/</t>
        </is>
      </c>
      <c r="K181" s="533" t="n">
        <v>46070</v>
      </c>
      <c r="L181" s="534" t="n">
        <v>45902</v>
      </c>
      <c r="M181" s="264" t="inlineStr">
        <is>
          <t>北京</t>
        </is>
      </c>
      <c r="N181" s="264" t="inlineStr">
        <is>
          <t>北京</t>
        </is>
      </c>
      <c r="O181" s="265" t="inlineStr">
        <is>
          <t>20K</t>
        </is>
      </c>
      <c r="P181" s="265" t="inlineStr">
        <is>
          <t>25K</t>
        </is>
      </c>
      <c r="Q181" s="532" t="n">
        <v>0</v>
      </c>
      <c r="R181" s="532" t="n">
        <v>0</v>
      </c>
      <c r="S181" s="532" t="n">
        <v>0</v>
      </c>
      <c r="T181" s="267" t="inlineStr">
        <is>
          <t>第一次合同：3年：
2025/8/18-2028/8/17</t>
        </is>
      </c>
      <c r="U181" s="270" t="inlineStr">
        <is>
          <t>6个月</t>
        </is>
      </c>
      <c r="V181" s="532" t="inlineStr">
        <is>
          <t>计算机科学与技术</t>
        </is>
      </c>
      <c r="W181" s="533" t="inlineStr">
        <is>
          <t xml:space="preserve"> 2024.07.05</t>
        </is>
      </c>
      <c r="X181" s="82" t="inlineStr">
        <is>
          <t xml:space="preserve"> 本科</t>
        </is>
      </c>
      <c r="Y181" s="458" t="inlineStr">
        <is>
          <t>1784100544@qq.com</t>
        </is>
      </c>
      <c r="Z181" s="264" t="inlineStr">
        <is>
          <t>河北省张家口市宣化县李家堡乡李家堡村中心街159号</t>
        </is>
      </c>
      <c r="AA181" s="532" t="inlineStr">
        <is>
          <t>北京市昌平区马连店家园3-3-1702</t>
        </is>
      </c>
      <c r="AB181" s="268" t="n">
        <v>18701630215</v>
      </c>
      <c r="AC181" s="496" t="inlineStr">
        <is>
          <t>130721199106135115</t>
        </is>
      </c>
      <c r="AD181" s="494" t="inlineStr">
        <is>
          <t>6217000170008214269</t>
        </is>
      </c>
      <c r="AE181" s="82" t="inlineStr">
        <is>
          <t>中国建设银行股份有限公司宣化支行</t>
        </is>
      </c>
      <c r="AG181" s="532" t="inlineStr">
        <is>
          <t>是</t>
        </is>
      </c>
      <c r="AH181" s="547" t="inlineStr">
        <is>
          <t>第一次合同：3年：
2025/8/18-2028/8/17</t>
        </is>
      </c>
      <c r="AI181" s="82">
        <f>DATEDIF(--TEXT(MID(AC181,7,8),"0-00-00"),TODAY(),"y")</f>
        <v/>
      </c>
      <c r="AJ181" s="548">
        <f>TEXT(MID(AC181,7,8),"0000-00-00")</f>
        <v/>
      </c>
      <c r="AK181" s="95">
        <f>CHOOSE(MONTH(AJ181),1,1,1,2,2,2,3,3,3,4,4,4)</f>
        <v/>
      </c>
    </row>
    <row r="182" s="558">
      <c r="A182" s="82" t="n">
        <v>91</v>
      </c>
      <c r="B182" s="265" t="inlineStr">
        <is>
          <t>顾云涛-挂靠</t>
        </is>
      </c>
      <c r="C182" s="265" t="inlineStr">
        <is>
          <t>上海文石</t>
        </is>
      </c>
      <c r="D182" s="264" t="inlineStr">
        <is>
          <t>男</t>
        </is>
      </c>
      <c r="E182" s="532" t="n">
        <v>17000</v>
      </c>
      <c r="F182" s="266" t="inlineStr">
        <is>
          <t>工资：17K,签订3年合同，试用期6个月，前3个月8折
试用期：基本工资 2600元/月，绩效工资3800 元/月，外派津贴3800元/月，社保补贴2400元/月，公积金补贴1000元/月 ,合计 13600 元/月。
转正：基本工资 2600元/月，绩效工资5500 元/月，外派津贴5500元/月，社保补贴2400元/月，公积金补贴1000元/月 ,合计 17000 元/月。
[注意：自考专科毕业证暂未拿到，预计九月初可以拿到，到时候可能转回创达]</t>
        </is>
      </c>
      <c r="G182" s="267" t="inlineStr">
        <is>
          <t>电子签
员工已签署闭环
材料齐全
可能转回创达不扣点</t>
        </is>
      </c>
      <c r="H182" s="268" t="inlineStr">
        <is>
          <t>司机队长</t>
        </is>
      </c>
      <c r="I182" s="269" t="n">
        <v>45889</v>
      </c>
      <c r="J182" s="533" t="inlineStr">
        <is>
          <t>/</t>
        </is>
      </c>
      <c r="K182" s="533" t="n">
        <v>46072</v>
      </c>
      <c r="L182" s="534" t="n">
        <v>45902</v>
      </c>
      <c r="M182" s="268" t="inlineStr">
        <is>
          <t>上海</t>
        </is>
      </c>
      <c r="N182" s="268" t="inlineStr">
        <is>
          <t>上海</t>
        </is>
      </c>
      <c r="O182" s="272" t="n">
        <v>13600</v>
      </c>
      <c r="P182" s="272" t="n">
        <v>17000</v>
      </c>
      <c r="Q182" s="532" t="n">
        <v>0</v>
      </c>
      <c r="R182" s="532" t="n">
        <v>0</v>
      </c>
      <c r="S182" s="532" t="n">
        <v>0</v>
      </c>
      <c r="T182" s="267" t="inlineStr">
        <is>
          <t>第一次合同：3年：
2025/8/20-2028/8/19</t>
        </is>
      </c>
      <c r="U182" s="270" t="inlineStr">
        <is>
          <t>6个月</t>
        </is>
      </c>
      <c r="V182" s="533" t="inlineStr">
        <is>
          <t>行政管理</t>
        </is>
      </c>
      <c r="W182" s="533" t="n">
        <v>2025.8</v>
      </c>
      <c r="X182" s="273" t="inlineStr">
        <is>
          <t xml:space="preserve"> 大专</t>
        </is>
      </c>
      <c r="Y182" s="583" t="inlineStr">
        <is>
          <t xml:space="preserve">185922280@qq.com </t>
        </is>
      </c>
      <c r="Z182" s="264" t="inlineStr">
        <is>
          <t>上海市宝山区杨行镇城西二村顾宅8号</t>
        </is>
      </c>
      <c r="AA182" s="532" t="inlineStr">
        <is>
          <t>上海市宝山区铁峰路2000弄友谊家园西区36号502</t>
        </is>
      </c>
      <c r="AB182" s="268" t="n">
        <v>13501979131</v>
      </c>
      <c r="AC182" s="496" t="inlineStr">
        <is>
          <t xml:space="preserve">310113198602043638 </t>
        </is>
      </c>
      <c r="AD182" s="494" t="inlineStr">
        <is>
          <t>6217001180091672223</t>
        </is>
      </c>
      <c r="AE182" s="82" t="inlineStr">
        <is>
          <t>中国建设银行上海水产路支行</t>
        </is>
      </c>
      <c r="AG182" s="532" t="inlineStr">
        <is>
          <t>是</t>
        </is>
      </c>
      <c r="AH182" s="547" t="inlineStr">
        <is>
          <t>第一次合同：3年：
2025/8/20-2028/8/19
可能转回创达</t>
        </is>
      </c>
      <c r="AI182" s="82">
        <f>DATEDIF(--TEXT(MID(AC182,7,8),"0-00-00"),TODAY(),"y")</f>
        <v/>
      </c>
      <c r="AJ182" s="548">
        <f>TEXT(MID(AC182,7,8),"0000-00-00")</f>
        <v/>
      </c>
      <c r="AK182" s="95">
        <f>CHOOSE(MONTH(AJ182),1,1,1,2,2,2,3,3,3,4,4,4)</f>
        <v/>
      </c>
    </row>
    <row r="183" s="558">
      <c r="A183" s="82" t="n">
        <v>92</v>
      </c>
      <c r="B183" s="265" t="inlineStr">
        <is>
          <t>解宇杰</t>
        </is>
      </c>
      <c r="C183" s="265" t="inlineStr">
        <is>
          <t>上海文石</t>
        </is>
      </c>
      <c r="D183" s="264" t="inlineStr">
        <is>
          <t>男</t>
        </is>
      </c>
      <c r="E183" s="532" t="n">
        <v>11000</v>
      </c>
      <c r="F183" s="266" t="inlineStr">
        <is>
          <t>工资：11K，签订3年合同
试用期6个月，前3个月打八折
【社保公积金补贴1500已沟通没问题】
到岗时间：2025年8月25日</t>
        </is>
      </c>
      <c r="G183" s="541" t="inlineStr">
        <is>
          <t>电子签
员工已签署闭环
材料齐全</t>
        </is>
      </c>
      <c r="H183" s="268" t="inlineStr">
        <is>
          <t>智能驾驶软件集成工程师（维护）</t>
        </is>
      </c>
      <c r="I183" s="269" t="n">
        <v>45894</v>
      </c>
      <c r="J183" s="533" t="inlineStr">
        <is>
          <t>/</t>
        </is>
      </c>
      <c r="K183" s="533" t="n">
        <v>46077</v>
      </c>
      <c r="L183" s="534" t="n">
        <v>45902</v>
      </c>
      <c r="M183" s="264" t="inlineStr">
        <is>
          <t>上海</t>
        </is>
      </c>
      <c r="N183" s="264" t="inlineStr">
        <is>
          <t>上海</t>
        </is>
      </c>
      <c r="O183" s="265" t="inlineStr">
        <is>
          <t>8.8K</t>
        </is>
      </c>
      <c r="P183" s="265" t="inlineStr">
        <is>
          <t>11K</t>
        </is>
      </c>
      <c r="Q183" s="532" t="n">
        <v>0</v>
      </c>
      <c r="R183" s="532" t="n">
        <v>0</v>
      </c>
      <c r="S183" s="532" t="n">
        <v>0</v>
      </c>
      <c r="T183" s="267" t="inlineStr">
        <is>
          <t>第一次合同：3年：
2025/8/25-2028/9/24</t>
        </is>
      </c>
      <c r="U183" s="270" t="inlineStr">
        <is>
          <t>6个月</t>
        </is>
      </c>
      <c r="V183" s="270" t="inlineStr">
        <is>
          <t>数据科学与大数据技术</t>
        </is>
      </c>
      <c r="W183" s="268" t="n">
        <v>2023.06</v>
      </c>
      <c r="X183" s="264" t="inlineStr">
        <is>
          <t>本科</t>
        </is>
      </c>
      <c r="Y183" s="264" t="inlineStr">
        <is>
          <t>xyj200079@163.com</t>
        </is>
      </c>
      <c r="Z183" s="264" t="inlineStr">
        <is>
          <t>安徽省宿州市灵璧县大路乡陈场村陈场庄二组</t>
        </is>
      </c>
      <c r="AA183" s="532" t="inlineStr">
        <is>
          <t>上海市浦东新区川沙路718号魔方公寓52105</t>
        </is>
      </c>
      <c r="AB183" s="268" t="n">
        <v>18226013764</v>
      </c>
      <c r="AC183" s="496" t="inlineStr">
        <is>
          <t>341323200007091416</t>
        </is>
      </c>
      <c r="AD183" s="496" t="inlineStr">
        <is>
          <t>6217001180090587489</t>
        </is>
      </c>
      <c r="AE183" s="532" t="inlineStr">
        <is>
          <t>中国建设银行上海高科路支行</t>
        </is>
      </c>
      <c r="AG183" s="532" t="inlineStr">
        <is>
          <t>是</t>
        </is>
      </c>
      <c r="AH183" s="547" t="inlineStr">
        <is>
          <t>第一次合同：3年：
2025/8/25-2028/9/24</t>
        </is>
      </c>
      <c r="AI183" s="82">
        <f>DATEDIF(--TEXT(MID(AC183,7,8),"0-00-00"),TODAY(),"y")</f>
        <v/>
      </c>
      <c r="AJ183" s="548">
        <f>TEXT(MID(AC183,7,8),"0000-00-00")</f>
        <v/>
      </c>
      <c r="AK183" s="95">
        <f>CHOOSE(MONTH(AJ183),1,1,1,2,2,2,3,3,3,4,4,4)</f>
        <v/>
      </c>
    </row>
    <row r="184" s="558">
      <c r="A184" s="82" t="n">
        <v>93</v>
      </c>
      <c r="B184" s="265" t="inlineStr">
        <is>
          <t>徐磊</t>
        </is>
      </c>
      <c r="C184" s="265" t="inlineStr">
        <is>
          <t>上海文石</t>
        </is>
      </c>
      <c r="D184" s="264" t="inlineStr">
        <is>
          <t>男</t>
        </is>
      </c>
      <c r="E184" s="532" t="n">
        <v>17000</v>
      </c>
      <c r="F184" s="266" t="inlineStr">
        <is>
          <t>工资：17K,签订半年合同，试用期1个月8折。
【社保2480公积金1020基础薪资2600绩效5450外派津贴5450，已沟通没问题】
到岗时间：2025年8月25日</t>
        </is>
      </c>
      <c r="G184" s="541" t="inlineStr">
        <is>
          <t>电子签
员工已签署闭环
材料齐全</t>
        </is>
      </c>
      <c r="H184" s="268" t="inlineStr">
        <is>
          <t>实车测试工程师</t>
        </is>
      </c>
      <c r="I184" s="269" t="n">
        <v>45894</v>
      </c>
      <c r="J184" s="533" t="inlineStr">
        <is>
          <t>/</t>
        </is>
      </c>
      <c r="K184" s="533" t="n">
        <v>45924</v>
      </c>
      <c r="L184" s="534" t="n">
        <v>45902</v>
      </c>
      <c r="M184" s="264" t="inlineStr">
        <is>
          <t>上海</t>
        </is>
      </c>
      <c r="N184" s="264" t="inlineStr">
        <is>
          <t>上海</t>
        </is>
      </c>
      <c r="O184" s="265" t="inlineStr">
        <is>
          <t>13.6K</t>
        </is>
      </c>
      <c r="P184" s="265" t="inlineStr">
        <is>
          <t>17K</t>
        </is>
      </c>
      <c r="Q184" s="532" t="n">
        <v>0</v>
      </c>
      <c r="R184" s="532" t="n">
        <v>0</v>
      </c>
      <c r="S184" s="532" t="n">
        <v>0</v>
      </c>
      <c r="T184" s="267" t="inlineStr">
        <is>
          <t>第一次合同：0.5年：
2025/8/25-2026/2/24</t>
        </is>
      </c>
      <c r="U184" s="532" t="inlineStr">
        <is>
          <t>1个月</t>
        </is>
      </c>
      <c r="V184" s="270" t="inlineStr">
        <is>
          <t>车辆工程</t>
        </is>
      </c>
      <c r="W184" s="268" t="n">
        <v>2021.06</v>
      </c>
      <c r="X184" s="268" t="inlineStr">
        <is>
          <t>本科</t>
        </is>
      </c>
      <c r="Y184" s="264" t="inlineStr">
        <is>
          <t>xuleihahaha1999@163.com</t>
        </is>
      </c>
      <c r="Z184" s="264" t="inlineStr">
        <is>
          <t>安徽省寿县板桥镇王楼村龙东队</t>
        </is>
      </c>
      <c r="AA184" s="532" t="inlineStr">
        <is>
          <t>上海市奉贤区港佳路398弄41号</t>
        </is>
      </c>
      <c r="AB184" s="268" t="n">
        <v>16621713814</v>
      </c>
      <c r="AC184" s="496" t="inlineStr">
        <is>
          <t>342422199908142318</t>
        </is>
      </c>
      <c r="AD184" s="496" t="inlineStr">
        <is>
          <t>6217001180081703657</t>
        </is>
      </c>
      <c r="AE184" s="532" t="inlineStr">
        <is>
          <t>中国建设银行上海龙翔路支行</t>
        </is>
      </c>
      <c r="AG184" s="532" t="inlineStr">
        <is>
          <t>是</t>
        </is>
      </c>
      <c r="AH184" s="547" t="inlineStr">
        <is>
          <t>第一次合同：0.5年：
2025/8/25-2026/2/24
第二次合同：3年（20260130林娜账单转长期了，2026.1.30日已得知徐磊转长期已续签3年）
2026/2/25-2029/2/24</t>
        </is>
      </c>
      <c r="AI184" s="82">
        <f>DATEDIF(--TEXT(MID(AC184,7,8),"0-00-00"),TODAY(),"y")</f>
        <v/>
      </c>
      <c r="AJ184" s="548">
        <f>TEXT(MID(AC184,7,8),"0000-00-00")</f>
        <v/>
      </c>
      <c r="AK184" s="95">
        <f>CHOOSE(MONTH(AJ184),1,1,1,2,2,2,3,3,3,4,4,4)</f>
        <v/>
      </c>
    </row>
    <row r="185" customFormat="1" s="549">
      <c r="A185" s="82" t="n">
        <v>94</v>
      </c>
      <c r="B185" s="550" t="inlineStr">
        <is>
          <t>殷建圣
2025/12/31日如期释放了</t>
        </is>
      </c>
      <c r="C185" s="550" t="inlineStr">
        <is>
          <t>北京文石</t>
        </is>
      </c>
      <c r="D185" s="197" t="inlineStr">
        <is>
          <t>男</t>
        </is>
      </c>
      <c r="E185" s="549" t="n">
        <v>14000</v>
      </c>
      <c r="F185" s="550" t="inlineStr">
        <is>
          <t>工资：14K，签订短期4个月合同
短期需求支持到12月结束，没有试用期，不打折。
【基本工资2420，绩效工资4490，外派津贴4490，社保补贴2000，公积金补贴600已沟通没问题】
到岗时间：2025.8.27日</t>
        </is>
      </c>
      <c r="G185" s="550" t="inlineStr">
        <is>
          <t>电子签
员工已签署闭环
材料齐全</t>
        </is>
      </c>
      <c r="H185" s="549" t="inlineStr">
        <is>
          <t>嵌入式测试工程师</t>
        </is>
      </c>
      <c r="I185" s="551" t="n">
        <v>45896</v>
      </c>
      <c r="J185" s="252" t="n">
        <v>46022</v>
      </c>
      <c r="K185" s="533" t="n">
        <v>45896</v>
      </c>
      <c r="L185" s="553" t="n">
        <v>45902</v>
      </c>
      <c r="M185" s="197" t="inlineStr">
        <is>
          <t>北京</t>
        </is>
      </c>
      <c r="N185" s="197" t="inlineStr">
        <is>
          <t>北京</t>
        </is>
      </c>
      <c r="O185" s="554" t="inlineStr">
        <is>
          <t>14k</t>
        </is>
      </c>
      <c r="P185" s="554" t="inlineStr">
        <is>
          <t>14k</t>
        </is>
      </c>
      <c r="Q185" s="532" t="n">
        <v>0</v>
      </c>
      <c r="R185" s="532" t="n">
        <v>0</v>
      </c>
      <c r="S185" s="532" t="n">
        <v>0</v>
      </c>
      <c r="T185" s="206" t="inlineStr">
        <is>
          <t>短期4个月</t>
        </is>
      </c>
      <c r="U185" s="197" t="inlineStr">
        <is>
          <t>短期 
无试用期</t>
        </is>
      </c>
      <c r="V185" s="549" t="inlineStr">
        <is>
          <t>计算机科学与技术(软件测试方向)</t>
        </is>
      </c>
      <c r="W185" s="551" t="n">
        <v>2023.06</v>
      </c>
      <c r="X185" s="549" t="inlineStr">
        <is>
          <t>本科</t>
        </is>
      </c>
      <c r="Y185" s="557" t="inlineStr">
        <is>
          <t>542582795@qq.com</t>
        </is>
      </c>
      <c r="Z185" s="549" t="inlineStr">
        <is>
          <t>山东省沂源县东里镇东村五区26号</t>
        </is>
      </c>
      <c r="AA185" s="197" t="inlineStr">
        <is>
          <t>北京市海淀区逸城东苑14号楼1302</t>
        </is>
      </c>
      <c r="AB185" s="197" t="n">
        <v>19854229961</v>
      </c>
      <c r="AC185" s="556" t="inlineStr">
        <is>
          <t>37032320000925261X</t>
        </is>
      </c>
      <c r="AD185" s="556" t="inlineStr">
        <is>
          <t>6210812390008666077</t>
        </is>
      </c>
      <c r="AE185" s="549" t="inlineStr">
        <is>
          <t>中国建设银行青岛贵州路支行</t>
        </is>
      </c>
      <c r="AF185" s="549" t="n"/>
      <c r="AG185" s="549" t="inlineStr">
        <is>
          <t>否</t>
        </is>
      </c>
      <c r="AH185" s="552" t="inlineStr">
        <is>
          <t xml:space="preserve">第一次合同：短期4个月：
2025/8/27-合同写了预计周期4个月左右那就是预计2025/12/26，最终2025/12/31日如期释放离职了
</t>
        </is>
      </c>
      <c r="AI185" s="82">
        <f>DATEDIF(--TEXT(MID(AC185,7,8),"0-00-00"),TODAY(),"y")</f>
        <v/>
      </c>
      <c r="AJ185" s="548">
        <f>TEXT(MID(AC185,7,8),"0000-00-00")</f>
        <v/>
      </c>
      <c r="AK185" s="95">
        <f>CHOOSE(MONTH(AJ185),1,1,1,2,2,2,3,3,3,4,4,4)</f>
        <v/>
      </c>
    </row>
    <row r="186" s="558">
      <c r="A186" s="82" t="n">
        <v>95</v>
      </c>
      <c r="B186" s="264" t="inlineStr">
        <is>
          <t>戴益超</t>
        </is>
      </c>
      <c r="C186" s="265" t="inlineStr">
        <is>
          <t>上海文石</t>
        </is>
      </c>
      <c r="D186" s="264" t="inlineStr">
        <is>
          <t>男</t>
        </is>
      </c>
      <c r="E186" s="532" t="n">
        <v>24000</v>
      </c>
      <c r="F186" s="266" t="inlineStr">
        <is>
          <t>工资：24K,签订1年合同，试用期2个月，2个月打8折（注意：项目预计使用周期大概1年；员工不知道且一直很重视项目稳定性及是否有机会转正岗）戴益超,这个岗位转为长期HC了</t>
        </is>
      </c>
      <c r="G186" s="541" t="inlineStr">
        <is>
          <t>电子签
员工已签署闭环
材料缺离职证明</t>
        </is>
      </c>
      <c r="H186" s="268" t="inlineStr">
        <is>
          <t>系统运维服务工程师</t>
        </is>
      </c>
      <c r="I186" s="269" t="n">
        <v>45901</v>
      </c>
      <c r="J186" s="533" t="inlineStr">
        <is>
          <t>/</t>
        </is>
      </c>
      <c r="K186" s="533" t="n">
        <v>45962</v>
      </c>
      <c r="L186" s="534" t="n">
        <v>45902</v>
      </c>
      <c r="M186" s="532" t="inlineStr">
        <is>
          <t>上海</t>
        </is>
      </c>
      <c r="N186" s="532" t="inlineStr">
        <is>
          <t>上海</t>
        </is>
      </c>
      <c r="O186" s="532" t="n">
        <v>19200</v>
      </c>
      <c r="P186" s="532" t="n">
        <v>24000</v>
      </c>
      <c r="Q186" s="532" t="n">
        <v>0</v>
      </c>
      <c r="R186" s="532" t="n">
        <v>0</v>
      </c>
      <c r="S186" s="532" t="n">
        <v>0</v>
      </c>
      <c r="T186" s="275" t="inlineStr">
        <is>
          <t>第一次合同：1年：
2025/9/1-2026/9/1</t>
        </is>
      </c>
      <c r="U186" s="532" t="inlineStr">
        <is>
          <t>2个月</t>
        </is>
      </c>
      <c r="V186" s="270" t="inlineStr">
        <is>
          <t xml:space="preserve"> 工商企业管理</t>
        </is>
      </c>
      <c r="W186" s="268" t="n">
        <v>2025.07</v>
      </c>
      <c r="X186" s="268" t="n"/>
      <c r="Y186" s="264" t="inlineStr">
        <is>
          <t>daiyichao441704@163.com</t>
        </is>
      </c>
      <c r="Z186" s="264" t="inlineStr">
        <is>
          <t>湖北省武穴市武穴街道大桥村代家湾142号</t>
        </is>
      </c>
      <c r="AA186" s="532" t="inlineStr">
        <is>
          <t>上海闵行虹梅南路5209号4幢精品公寓</t>
        </is>
      </c>
      <c r="AB186" s="268" t="n">
        <v>18688945502</v>
      </c>
      <c r="AC186" s="496" t="inlineStr">
        <is>
          <t xml:space="preserve">421182198903130216 </t>
        </is>
      </c>
      <c r="AD186" s="496" t="inlineStr">
        <is>
          <t>6217001180092480923</t>
        </is>
      </c>
      <c r="AE186" s="532" t="inlineStr">
        <is>
          <t>中国建设银行上海吴泾支行</t>
        </is>
      </c>
      <c r="AG186" s="532" t="inlineStr">
        <is>
          <t>是</t>
        </is>
      </c>
      <c r="AH186" s="547" t="inlineStr">
        <is>
          <t>第一次合同：1年：
2025/9/1-2026/9/1</t>
        </is>
      </c>
      <c r="AI186" s="82">
        <f>DATEDIF(--TEXT(MID(AC186,7,8),"0-00-00"),TODAY(),"y")</f>
        <v/>
      </c>
      <c r="AJ186" s="548">
        <f>TEXT(MID(AC186,7,8),"0000-00-00")</f>
        <v/>
      </c>
      <c r="AK186" s="95">
        <f>CHOOSE(MONTH(AJ186),1,1,1,2,2,2,3,3,3,4,4,4)</f>
        <v/>
      </c>
    </row>
    <row r="187" s="558">
      <c r="A187" s="82" t="n">
        <v>96</v>
      </c>
      <c r="B187" s="264" t="inlineStr">
        <is>
          <t>丁欣悦</t>
        </is>
      </c>
      <c r="C187" s="265" t="inlineStr">
        <is>
          <t>南京文石</t>
        </is>
      </c>
      <c r="D187" s="264" t="inlineStr">
        <is>
          <t>女</t>
        </is>
      </c>
      <c r="E187" s="532" t="n">
        <v>5500</v>
      </c>
      <c r="F187" s="266" t="inlineStr">
        <is>
          <t>工资：5.5K,签订3年合同，试用期6个月，前3月打8折【社保160，公积金150，基础薪资2500，绩效1345，外派津贴1345；注意：项目周期约短期半年，员工不知情！！！】
到岗时间：2025年9月1日（下周一）</t>
        </is>
      </c>
      <c r="G187" s="541" t="inlineStr">
        <is>
          <t>电子签
员工已签署闭环
材料齐全</t>
        </is>
      </c>
      <c r="H187" s="268" t="inlineStr">
        <is>
          <t>采集质检专员</t>
        </is>
      </c>
      <c r="I187" s="269" t="n">
        <v>45901</v>
      </c>
      <c r="J187" s="533" t="inlineStr">
        <is>
          <t>/</t>
        </is>
      </c>
      <c r="K187" s="533" t="n">
        <v>46082</v>
      </c>
      <c r="L187" s="534" t="n">
        <v>45902</v>
      </c>
      <c r="M187" s="532" t="inlineStr">
        <is>
          <t>南京</t>
        </is>
      </c>
      <c r="N187" s="532" t="inlineStr">
        <is>
          <t>南京</t>
        </is>
      </c>
      <c r="O187" s="532" t="inlineStr">
        <is>
          <t>4.4K</t>
        </is>
      </c>
      <c r="P187" s="532" t="inlineStr">
        <is>
          <t>5.5K</t>
        </is>
      </c>
      <c r="Q187" s="532" t="n">
        <v>0</v>
      </c>
      <c r="R187" s="532" t="n">
        <v>0</v>
      </c>
      <c r="S187" s="532" t="n">
        <v>0</v>
      </c>
      <c r="T187" s="267" t="inlineStr">
        <is>
          <t>第一次合同：3年：
2025/9/1-2028/9/1</t>
        </is>
      </c>
      <c r="U187" s="541" t="inlineStr">
        <is>
          <t>6个月</t>
        </is>
      </c>
      <c r="V187" s="270" t="inlineStr">
        <is>
          <t>空间信息与数字技术</t>
        </is>
      </c>
      <c r="W187" s="268" t="n">
        <v>2024.06</v>
      </c>
      <c r="X187" s="268" t="inlineStr">
        <is>
          <t>本科</t>
        </is>
      </c>
      <c r="Y187" s="264" t="inlineStr">
        <is>
          <t>2827640481@qq.com</t>
        </is>
      </c>
      <c r="Z187" s="264" t="inlineStr">
        <is>
          <t>安徽省寿县堰口镇青莲村堆西村民组</t>
        </is>
      </c>
      <c r="AA187" s="532" t="inlineStr">
        <is>
          <t>江苏省南京市栖霞区尧化街道盈嘉·香榴湾1栋1单元324室</t>
        </is>
      </c>
      <c r="AB187" s="268" t="n">
        <v>17856969796</v>
      </c>
      <c r="AC187" s="496" t="inlineStr">
        <is>
          <t>34242220021015358X</t>
        </is>
      </c>
      <c r="AD187" s="496" t="inlineStr">
        <is>
          <t>6217000210032757568</t>
        </is>
      </c>
      <c r="AE187" s="532" t="inlineStr">
        <is>
          <t>中国建设银行廊坊临空经济区支行</t>
        </is>
      </c>
      <c r="AG187" s="532" t="inlineStr">
        <is>
          <t>是</t>
        </is>
      </c>
      <c r="AH187" s="547" t="inlineStr">
        <is>
          <t>第一次合同：3年：
2025/9/1-2028/9/1</t>
        </is>
      </c>
      <c r="AI187" s="82">
        <f>DATEDIF(--TEXT(MID(AC187,7,8),"0-00-00"),TODAY(),"y")</f>
        <v/>
      </c>
      <c r="AJ187" s="548">
        <f>TEXT(MID(AC187,7,8),"0000-00-00")</f>
        <v/>
      </c>
      <c r="AK187" s="95">
        <f>CHOOSE(MONTH(AJ187),1,1,1,2,2,2,3,3,3,4,4,4)</f>
        <v/>
      </c>
    </row>
    <row r="188" s="558">
      <c r="A188" s="82" t="n">
        <v>97</v>
      </c>
      <c r="B188" s="264" t="inlineStr">
        <is>
          <t>许磊</t>
        </is>
      </c>
      <c r="C188" s="264" t="inlineStr">
        <is>
          <t>今才</t>
        </is>
      </c>
      <c r="D188" s="264" t="inlineStr">
        <is>
          <t>男</t>
        </is>
      </c>
      <c r="E188" s="532" t="n">
        <v>15000</v>
      </c>
      <c r="F188" s="266" t="inlineStr">
        <is>
          <t>工资：15K,签订3年合同，试用期6个月，前3个月8折</t>
        </is>
      </c>
      <c r="G188" s="541" t="inlineStr">
        <is>
          <t>电子签
员工已签署闭环
材料齐全</t>
        </is>
      </c>
      <c r="H188" s="268" t="inlineStr">
        <is>
          <t>自动驾驶集成测试工程师</t>
        </is>
      </c>
      <c r="I188" s="269" t="n">
        <v>45903</v>
      </c>
      <c r="J188" s="533" t="inlineStr">
        <is>
          <t>/</t>
        </is>
      </c>
      <c r="K188" s="533" t="n">
        <v>45718</v>
      </c>
      <c r="L188" s="534" t="n">
        <v>45902</v>
      </c>
      <c r="M188" s="532" t="inlineStr">
        <is>
          <t>重庆</t>
        </is>
      </c>
      <c r="N188" s="532" t="inlineStr">
        <is>
          <t>重庆</t>
        </is>
      </c>
      <c r="O188" s="532" t="inlineStr">
        <is>
          <t>12k</t>
        </is>
      </c>
      <c r="P188" s="532" t="inlineStr">
        <is>
          <t>15k</t>
        </is>
      </c>
      <c r="Q188" s="532" t="n">
        <v>0</v>
      </c>
      <c r="R188" s="532" t="n">
        <v>0</v>
      </c>
      <c r="S188" s="532" t="n">
        <v>0</v>
      </c>
      <c r="T188" s="267" t="inlineStr">
        <is>
          <t>第一次合同：3年：
2025/9/3-2028/9/2</t>
        </is>
      </c>
      <c r="U188" s="541" t="inlineStr">
        <is>
          <t>6个月</t>
        </is>
      </c>
      <c r="V188" s="270" t="inlineStr">
        <is>
          <t>公共事业管理</t>
        </is>
      </c>
      <c r="W188" s="268" t="inlineStr">
        <is>
          <t>2023.03.01</t>
        </is>
      </c>
      <c r="X188" s="268" t="inlineStr">
        <is>
          <t xml:space="preserve"> 本科</t>
        </is>
      </c>
      <c r="Y188" s="264" t="inlineStr">
        <is>
          <t>1325626555@qq.com</t>
        </is>
      </c>
      <c r="Z188" s="264" t="inlineStr">
        <is>
          <t>重庆市垫江县曹回镇徐白住址村6组74号</t>
        </is>
      </c>
      <c r="AA188" s="532" t="inlineStr">
        <is>
          <t xml:space="preserve"> 重庆市渝北区龙俊雅苑19栋22-14</t>
        </is>
      </c>
      <c r="AB188" s="268" t="n">
        <v>15202308920</v>
      </c>
      <c r="AC188" s="496" t="inlineStr">
        <is>
          <t>500231199412151855</t>
        </is>
      </c>
      <c r="AD188" s="496" t="inlineStr">
        <is>
          <t>6217003760195261318</t>
        </is>
      </c>
      <c r="AE188" s="532" t="inlineStr">
        <is>
          <t>中国建设银行重庆两江龙兴支行</t>
        </is>
      </c>
      <c r="AG188" s="532" t="inlineStr">
        <is>
          <t>是</t>
        </is>
      </c>
      <c r="AH188" s="547" t="inlineStr">
        <is>
          <t>第一次合同：3年：
2025/9/3-2028/9/2</t>
        </is>
      </c>
      <c r="AI188" s="82">
        <f>DATEDIF(--TEXT(MID(AC188,7,8),"0-00-00"),TODAY(),"y")</f>
        <v/>
      </c>
      <c r="AJ188" s="548">
        <f>TEXT(MID(AC188,7,8),"0000-00-00")</f>
        <v/>
      </c>
      <c r="AK188" s="95">
        <f>CHOOSE(MONTH(AJ188),1,1,1,2,2,2,3,3,3,4,4,4)</f>
        <v/>
      </c>
    </row>
    <row r="189" customFormat="1" s="549">
      <c r="A189" s="197" t="inlineStr">
        <is>
          <t>/</t>
        </is>
      </c>
      <c r="B189" s="550" t="inlineStr">
        <is>
          <t>汶文飞
（就当没这个人）</t>
        </is>
      </c>
      <c r="C189" s="550" t="inlineStr">
        <is>
          <t>/</t>
        </is>
      </c>
      <c r="D189" s="197" t="inlineStr">
        <is>
          <t>男</t>
        </is>
      </c>
      <c r="E189" s="549" t="inlineStr">
        <is>
          <t>/</t>
        </is>
      </c>
      <c r="F189" s="550" t="inlineStr">
        <is>
          <t>工资：14.5K,签订3年合同，试用期6个月，前3个月打8折（社保：1900，公积金：1000，基础薪资：2600，绩效：4500，外派津贴：4500；注意：预计使用半年，人力预算员工不知情）</t>
        </is>
      </c>
      <c r="G189" s="550" t="inlineStr">
        <is>
          <t>2025/9/15入职就离职
未签劳动合同材料
签署了离职确认单和发送了离职申请</t>
        </is>
      </c>
      <c r="H189" s="549" t="inlineStr">
        <is>
          <t>数据测试工程师</t>
        </is>
      </c>
      <c r="I189" s="551" t="n">
        <v>45915</v>
      </c>
      <c r="J189" s="252" t="n">
        <v>45915</v>
      </c>
      <c r="K189" s="533" t="n">
        <v>45730</v>
      </c>
      <c r="L189" s="553" t="n">
        <v>45902</v>
      </c>
      <c r="M189" s="197" t="inlineStr">
        <is>
          <t>上海</t>
        </is>
      </c>
      <c r="N189" s="197" t="inlineStr">
        <is>
          <t>上海安亭</t>
        </is>
      </c>
      <c r="O189" s="554" t="n">
        <v>11600</v>
      </c>
      <c r="P189" s="554" t="n">
        <v>14500</v>
      </c>
      <c r="Q189" s="532" t="n">
        <v>0</v>
      </c>
      <c r="R189" s="532" t="n">
        <v>0</v>
      </c>
      <c r="S189" s="532" t="n">
        <v>0</v>
      </c>
      <c r="T189" s="206" t="inlineStr">
        <is>
          <t>第一次合同：3年：
2025/9/15-2028/9/14</t>
        </is>
      </c>
      <c r="U189" s="197" t="inlineStr">
        <is>
          <t>6个月</t>
        </is>
      </c>
      <c r="V189" s="549" t="inlineStr">
        <is>
          <t>资源勘查</t>
        </is>
      </c>
      <c r="W189" s="551" t="n">
        <v>2018.6</v>
      </c>
      <c r="X189" s="549" t="inlineStr">
        <is>
          <t xml:space="preserve"> 本科</t>
        </is>
      </c>
      <c r="Y189" s="557" t="inlineStr">
        <is>
          <t>2998301660@qq.com</t>
        </is>
      </c>
      <c r="Z189" s="549" t="inlineStr">
        <is>
          <t>陕西省眉县马家镇汶家滩村五组74号</t>
        </is>
      </c>
      <c r="AA189" s="197" t="inlineStr">
        <is>
          <t>陕西省眉县首善镇金晟御景苑1-2502
（老家地址，上海住酒店）</t>
        </is>
      </c>
      <c r="AB189" s="197" t="inlineStr">
        <is>
          <t>,15594620589</t>
        </is>
      </c>
      <c r="AC189" s="556" t="inlineStr">
        <is>
          <t>610326199309212015</t>
        </is>
      </c>
      <c r="AD189" s="556" t="inlineStr">
        <is>
          <t>6215340302104120842</t>
        </is>
      </c>
      <c r="AE189" s="549" t="inlineStr">
        <is>
          <t>中国建设银行眉县支行</t>
        </is>
      </c>
      <c r="AF189" s="549" t="n"/>
      <c r="AG189" s="549" t="inlineStr">
        <is>
          <t>否</t>
        </is>
      </c>
      <c r="AH189" s="551" t="inlineStr">
        <is>
          <t>第一次合同：3年：
2025/9/15-2028/9/14</t>
        </is>
      </c>
      <c r="AI189" s="82">
        <f>DATEDIF(--TEXT(MID(AC189,7,8),"0-00-00"),TODAY(),"y")</f>
        <v/>
      </c>
      <c r="AJ189" s="548">
        <f>TEXT(MID(AC189,7,8),"0000-00-00")</f>
        <v/>
      </c>
      <c r="AK189" s="95">
        <f>CHOOSE(MONTH(AJ189),1,1,1,2,2,2,3,3,3,4,4,4)</f>
        <v/>
      </c>
    </row>
    <row r="190" s="558">
      <c r="A190" s="82" t="n">
        <v>98</v>
      </c>
      <c r="B190" s="276" t="inlineStr">
        <is>
          <t>曹奔康
(大陆芯)</t>
        </is>
      </c>
      <c r="C190" s="276" t="inlineStr">
        <is>
          <t>首次上海文石合同</t>
        </is>
      </c>
      <c r="D190" s="264" t="inlineStr">
        <is>
          <t>男</t>
        </is>
      </c>
      <c r="E190" s="532" t="n">
        <v>21000</v>
      </c>
      <c r="F190" s="266" t="inlineStr">
        <is>
          <t>工资：21K,签订3年合同，试用期6个月，不打折的
【注意：项目实际到26年年初，员工不知情；2026.2.10日通知转长期项目了。社保：3510，公积金：1290，基础薪资：2600，绩效:6800，外派：6800已沟通没问题】
到岗时间：2025年9月15日</t>
        </is>
      </c>
      <c r="G190" s="541" t="inlineStr">
        <is>
          <t>电子签-上海文石
员工已签署闭环
材料齐全
2026.2.10日通知转长期项目了且报价调整从3w调整为2.9w</t>
        </is>
      </c>
      <c r="H190" s="268" t="inlineStr">
        <is>
          <t>QNX应用软件开发工程师</t>
        </is>
      </c>
      <c r="I190" s="269" t="n">
        <v>45915</v>
      </c>
      <c r="J190" s="533" t="inlineStr">
        <is>
          <t>/</t>
        </is>
      </c>
      <c r="K190" s="533" t="n">
        <v>45730</v>
      </c>
      <c r="L190" s="584" t="inlineStr">
        <is>
          <t>2025/10/1
9月上家缴纳过</t>
        </is>
      </c>
      <c r="M190" s="532" t="inlineStr">
        <is>
          <t>上海</t>
        </is>
      </c>
      <c r="N190" s="532" t="inlineStr">
        <is>
          <t>上海安亭</t>
        </is>
      </c>
      <c r="O190" s="532" t="inlineStr">
        <is>
          <t>21K</t>
        </is>
      </c>
      <c r="P190" s="532" t="inlineStr">
        <is>
          <t>21K</t>
        </is>
      </c>
      <c r="Q190" s="532" t="n">
        <v>0</v>
      </c>
      <c r="R190" s="532" t="n">
        <v>0</v>
      </c>
      <c r="S190" s="532" t="n">
        <v>0</v>
      </c>
      <c r="T190" s="267" t="inlineStr">
        <is>
          <t>第一次合同：3年：
2025/9/15-2028/9/14</t>
        </is>
      </c>
      <c r="U190" s="541" t="inlineStr">
        <is>
          <t>6个月</t>
        </is>
      </c>
      <c r="V190" s="270" t="inlineStr">
        <is>
          <t>计算机科学与技术</t>
        </is>
      </c>
      <c r="W190" s="268" t="n">
        <v>2021.9</v>
      </c>
      <c r="X190" s="268" t="inlineStr">
        <is>
          <t>本科</t>
        </is>
      </c>
      <c r="Y190" s="458" t="inlineStr">
        <is>
          <t>benkang.cao@foxmail.com</t>
        </is>
      </c>
      <c r="Z190" s="541" t="inlineStr">
        <is>
          <t>河南省巩义市鲁庄镇里河村曹门82号</t>
        </is>
      </c>
      <c r="AA190" s="541" t="inlineStr">
        <is>
          <t>江苏省苏州市昆山市花桥镇赛格公寓802</t>
        </is>
      </c>
      <c r="AB190" s="268" t="n">
        <v>19939964556</v>
      </c>
      <c r="AC190" s="496" t="inlineStr">
        <is>
          <t>410181199709037558</t>
        </is>
      </c>
      <c r="AD190" s="496" t="inlineStr">
        <is>
          <t>6210812430030112466</t>
        </is>
      </c>
      <c r="AE190" s="532" t="inlineStr">
        <is>
          <t>中国建设银行郑州金海支行</t>
        </is>
      </c>
      <c r="AG190" s="532" t="inlineStr">
        <is>
          <t>是</t>
        </is>
      </c>
      <c r="AH190" s="547" t="inlineStr">
        <is>
          <t>第一次合同：3年：
2025/9/15-2028/9/14</t>
        </is>
      </c>
      <c r="AI190" s="82">
        <f>DATEDIF(--TEXT(MID(AC190,7,8),"0-00-00"),TODAY(),"y")</f>
        <v/>
      </c>
      <c r="AJ190" s="548">
        <f>TEXT(MID(AC190,7,8),"0000-00-00")</f>
        <v/>
      </c>
      <c r="AK190" s="95">
        <f>CHOOSE(MONTH(AJ190),1,1,1,2,2,2,3,3,3,4,4,4)</f>
        <v/>
      </c>
    </row>
    <row r="191" customFormat="1" s="549">
      <c r="A191" s="197" t="n">
        <v>110</v>
      </c>
      <c r="B191" s="550" t="inlineStr">
        <is>
          <t>葛小朋
2025/9/28 lastday
（其他欣琰的数智睿行项目）</t>
        </is>
      </c>
      <c r="C191" s="550" t="inlineStr">
        <is>
          <t>南京文石</t>
        </is>
      </c>
      <c r="D191" s="197" t="inlineStr">
        <is>
          <t>男</t>
        </is>
      </c>
      <c r="E191" s="549" t="n">
        <v>700</v>
      </c>
      <c r="F191" s="550" t="inlineStr">
        <is>
          <t>工资：700/天，发薪日：周结，
签6-12个月的兼职合同
到岗时间：2025年9月25日（本周四）
备注：劳务合同，不缴纳五险一金</t>
        </is>
      </c>
      <c r="G191" s="550" t="inlineStr">
        <is>
          <t>劳务合同电子签-南京文石
员工已签署闭环
材料齐全
2025年9月28日因工作不认真被客户投诉劝退，对抗中,赔偿员工1000元，客户0结算，已闭环。</t>
        </is>
      </c>
      <c r="H191" s="549" t="inlineStr">
        <is>
          <t>Java工程师-兼职</t>
        </is>
      </c>
      <c r="I191" s="551" t="n">
        <v>45925</v>
      </c>
      <c r="J191" s="261" t="inlineStr">
        <is>
          <t>2025/9/28 lastday
因工作不认真被客户投诉劝退，处理已闭环</t>
        </is>
      </c>
      <c r="K191" s="533" t="inlineStr">
        <is>
          <t>/</t>
        </is>
      </c>
      <c r="L191" s="553" t="inlineStr">
        <is>
          <t>不缴纳</t>
        </is>
      </c>
      <c r="M191" s="197" t="inlineStr">
        <is>
          <t>南京</t>
        </is>
      </c>
      <c r="N191" s="197" t="inlineStr">
        <is>
          <t>南京</t>
        </is>
      </c>
      <c r="O191" s="554" t="n">
        <v>700</v>
      </c>
      <c r="P191" s="554" t="n">
        <v>700</v>
      </c>
      <c r="Q191" s="532" t="n">
        <v>0</v>
      </c>
      <c r="R191" s="532" t="n">
        <v>0</v>
      </c>
      <c r="S191" s="532" t="n">
        <v>0</v>
      </c>
      <c r="T191" s="206" t="inlineStr">
        <is>
          <t>短期6-12个月兼职合同
2025年9月25日-2025年9月25日</t>
        </is>
      </c>
      <c r="U191" s="197" t="inlineStr">
        <is>
          <t>/</t>
        </is>
      </c>
      <c r="V191" s="549" t="inlineStr">
        <is>
          <t>计算机</t>
        </is>
      </c>
      <c r="W191" s="551" t="n">
        <v>2021.7</v>
      </c>
      <c r="X191" s="549" t="inlineStr">
        <is>
          <t xml:space="preserve"> 本科</t>
        </is>
      </c>
      <c r="Y191" s="557" t="inlineStr">
        <is>
          <t>1799577001@qq.com</t>
        </is>
      </c>
      <c r="Z191" s="549" t="inlineStr">
        <is>
          <t>江苏省淮安市去楚州区建淮乡马甲村36号</t>
        </is>
      </c>
      <c r="AA191" s="197" t="inlineStr">
        <is>
          <t>江苏省南京市雨花台区小行路29号</t>
        </is>
      </c>
      <c r="AB191" s="197" t="n">
        <v>18017881760</v>
      </c>
      <c r="AC191" s="556" t="inlineStr">
        <is>
          <t>320882199404081614</t>
        </is>
      </c>
      <c r="AD191" s="556" t="inlineStr">
        <is>
          <t>6217001370007608664</t>
        </is>
      </c>
      <c r="AE191" s="549" t="inlineStr">
        <is>
          <t>中国建设银行股份有限公司南京中山南路支行</t>
        </is>
      </c>
      <c r="AF191" s="549" t="n"/>
      <c r="AG191" s="549" t="inlineStr">
        <is>
          <t>否</t>
        </is>
      </c>
      <c r="AH191" s="552" t="inlineStr">
        <is>
          <t>短期6-12个月兼职合同
2025年9月25日-2025年9月25日
最终劳务赔偿了1000元，于20251004日已打款。</t>
        </is>
      </c>
      <c r="AI191" s="82">
        <f>DATEDIF(--TEXT(MID(AC191,7,8),"0-00-00"),TODAY(),"y")</f>
        <v/>
      </c>
      <c r="AJ191" s="548">
        <f>TEXT(MID(AC191,7,8),"0000-00-00")</f>
        <v/>
      </c>
      <c r="AK191" s="95">
        <f>CHOOSE(MONTH(AJ191),1,1,1,2,2,2,3,3,3,4,4,4)</f>
        <v/>
      </c>
    </row>
    <row r="192" ht="337" customFormat="1" customHeight="1" s="585">
      <c r="A192" s="279" t="n">
        <v>99</v>
      </c>
      <c r="B192" s="280" t="inlineStr">
        <is>
          <t>盈鹏
（其他欣琰的数智睿行项目）
自然月结算
一个月再找财务算个税</t>
        </is>
      </c>
      <c r="C192" s="280" t="inlineStr">
        <is>
          <t>南京文石</t>
        </is>
      </c>
      <c r="D192" s="281" t="inlineStr">
        <is>
          <t>男</t>
        </is>
      </c>
      <c r="E192" s="585" t="inlineStr">
        <is>
          <t>550/天</t>
        </is>
      </c>
      <c r="F192" s="280" t="inlineStr">
        <is>
          <t>工资：550/天，发薪日：周结，签6-12个月的兼职合同，周六加班后续调休不折算薪资。
到岗时间：2025年9月25日（本周四）
特例：五险一金折成钱，大概1300左右（月发）</t>
        </is>
      </c>
      <c r="G192" s="586" t="inlineStr">
        <is>
          <t>劳务合同电子签-南京文石
员工已签署闭环
材料齐全</t>
        </is>
      </c>
      <c r="H192" s="283" t="inlineStr">
        <is>
          <t>Java工程师-兼职</t>
        </is>
      </c>
      <c r="I192" s="284" t="n">
        <v>45925</v>
      </c>
      <c r="J192" s="587" t="inlineStr">
        <is>
          <t>2026/5/29lastday
兼职自然项目结束离职，然后员工申请的个人原因申请离项完美结束
员工也签署了离职确认单</t>
        </is>
      </c>
      <c r="K192" s="533" t="inlineStr">
        <is>
          <t>/</t>
        </is>
      </c>
      <c r="L192" s="588" t="inlineStr">
        <is>
          <t>不缴纳</t>
        </is>
      </c>
      <c r="M192" s="585" t="inlineStr">
        <is>
          <t>南京</t>
        </is>
      </c>
      <c r="N192" s="585" t="inlineStr">
        <is>
          <t>南京</t>
        </is>
      </c>
      <c r="O192" s="585" t="n">
        <v>550</v>
      </c>
      <c r="P192" s="585" t="n">
        <v>550</v>
      </c>
      <c r="Q192" s="532" t="n">
        <v>0</v>
      </c>
      <c r="R192" s="532" t="n">
        <v>0</v>
      </c>
      <c r="S192" s="532" t="n">
        <v>0</v>
      </c>
      <c r="T192" s="287" t="inlineStr">
        <is>
          <t>短期6-12个月兼职合同
2025年9月25日-2025年9月25日</t>
        </is>
      </c>
      <c r="U192" s="586" t="inlineStr">
        <is>
          <t>/</t>
        </is>
      </c>
      <c r="V192" s="288" t="inlineStr">
        <is>
          <t xml:space="preserve"> 计算机</t>
        </is>
      </c>
      <c r="W192" s="283" t="inlineStr">
        <is>
          <t>2021.7.1</t>
        </is>
      </c>
      <c r="X192" s="283" t="inlineStr">
        <is>
          <t xml:space="preserve"> 本科</t>
        </is>
      </c>
      <c r="Y192" s="289" t="inlineStr">
        <is>
          <t>282015478@qq.com</t>
        </is>
      </c>
      <c r="Z192" s="586" t="inlineStr">
        <is>
          <t>江苏省南京市雨花区雨花西路230号</t>
        </is>
      </c>
      <c r="AA192" s="586" t="inlineStr">
        <is>
          <t>江苏省南京市雨花区雨花西路230号1栋2单元</t>
        </is>
      </c>
      <c r="AB192" s="283" t="n">
        <v>13776690513</v>
      </c>
      <c r="AC192" s="497" t="inlineStr">
        <is>
          <t>342626199505130191</t>
        </is>
      </c>
      <c r="AD192" s="497" t="inlineStr">
        <is>
          <t>6236691370000089230</t>
        </is>
      </c>
      <c r="AE192" s="585" t="inlineStr">
        <is>
          <t>中国建设银行南京翠屏国际支行</t>
        </is>
      </c>
      <c r="AF192" s="585" t="n"/>
      <c r="AG192" s="585" t="inlineStr">
        <is>
          <t>是</t>
        </is>
      </c>
      <c r="AH192" s="587" t="inlineStr">
        <is>
          <t>短期6-12个月兼职合同
2025年9月25日-2026年9月25日</t>
        </is>
      </c>
      <c r="AI192" s="82">
        <f>DATEDIF(--TEXT(MID(AC192,7,8),"0-00-00"),TODAY(),"y")</f>
        <v/>
      </c>
      <c r="AJ192" s="548">
        <f>TEXT(MID(AC192,7,8),"0000-00-00")</f>
        <v/>
      </c>
      <c r="AK192" s="95">
        <f>CHOOSE(MONTH(AJ192),1,1,1,2,2,2,3,3,3,4,4,4)</f>
        <v/>
      </c>
    </row>
    <row r="193" customFormat="1" s="549">
      <c r="A193" s="197" t="n">
        <v>111</v>
      </c>
      <c r="B193" s="550" t="inlineStr">
        <is>
          <t>戚鹏博
（2025/10/11主动离职）</t>
        </is>
      </c>
      <c r="C193" s="550" t="inlineStr">
        <is>
          <t>上海文石</t>
        </is>
      </c>
      <c r="D193" s="197" t="inlineStr">
        <is>
          <t>男</t>
        </is>
      </c>
      <c r="E193" s="549" t="n">
        <v>15500</v>
      </c>
      <c r="F193" s="550" t="inlineStr">
        <is>
          <t>工资：15.5K,签订3年合同，
试用期6个月，前3个月8折
【注意：短期半年岗位，员工不知情！】
基础薪资：2600，社保：2100  ，公积金：650，绩效：5075，外派津贴：5075
到岗时间：2025年9月29日</t>
        </is>
      </c>
      <c r="G193" s="550" t="inlineStr">
        <is>
          <t>电子签-上海文石
员工已签署闭环
材料齐全
主动离职，考勤情况：2025年10月9日请假一天，暂无其他特殊情况</t>
        </is>
      </c>
      <c r="H193" s="549" t="inlineStr">
        <is>
          <t>自动驾驶测试开发工程师（CICD方向）</t>
        </is>
      </c>
      <c r="I193" s="551" t="n">
        <v>45929</v>
      </c>
      <c r="J193" s="252" t="inlineStr">
        <is>
          <t>2025/10/11已闭环。</t>
        </is>
      </c>
      <c r="K193" s="533" t="n">
        <v>45744</v>
      </c>
      <c r="L193" s="553" t="n">
        <v>45931</v>
      </c>
      <c r="M193" s="197" t="inlineStr">
        <is>
          <t>上海</t>
        </is>
      </c>
      <c r="N193" s="197" t="inlineStr">
        <is>
          <t>上海</t>
        </is>
      </c>
      <c r="O193" s="554" t="inlineStr">
        <is>
          <t>12.4K</t>
        </is>
      </c>
      <c r="P193" s="554" t="inlineStr">
        <is>
          <t>15.5K</t>
        </is>
      </c>
      <c r="Q193" s="532" t="n">
        <v>0</v>
      </c>
      <c r="R193" s="532" t="n">
        <v>0</v>
      </c>
      <c r="S193" s="532" t="n">
        <v>0</v>
      </c>
      <c r="T193" s="206" t="inlineStr">
        <is>
          <t>第一次合同：3年：
2025/9/29-2028/9/28</t>
        </is>
      </c>
      <c r="U193" s="197" t="inlineStr">
        <is>
          <t>6个月</t>
        </is>
      </c>
      <c r="V193" s="549" t="inlineStr">
        <is>
          <t>电子商务</t>
        </is>
      </c>
      <c r="W193" s="551" t="n">
        <v>2022.06</v>
      </c>
      <c r="X193" s="549" t="inlineStr">
        <is>
          <t>大专</t>
        </is>
      </c>
      <c r="Y193" s="557" t="inlineStr">
        <is>
          <t>qpbstart@163.com</t>
        </is>
      </c>
      <c r="Z193" s="549" t="inlineStr">
        <is>
          <t xml:space="preserve"> 河南省周口市商水县固墙镇郁庄村十组</t>
        </is>
      </c>
      <c r="AA193" s="197" t="inlineStr">
        <is>
          <t>上海市浦东新区川沙新镇创业路798</t>
        </is>
      </c>
      <c r="AB193" s="197" t="n">
        <v>18539970716</v>
      </c>
      <c r="AC193" s="556" t="inlineStr">
        <is>
          <t>412723200108265957</t>
        </is>
      </c>
      <c r="AD193" s="556" t="inlineStr">
        <is>
          <t>6217001180092220899</t>
        </is>
      </c>
      <c r="AE193" s="549" t="inlineStr">
        <is>
          <t>中国建设银行上海新德路支行</t>
        </is>
      </c>
      <c r="AF193" s="549" t="n"/>
      <c r="AG193" s="549" t="inlineStr">
        <is>
          <t>否</t>
        </is>
      </c>
      <c r="AH193" s="551" t="inlineStr">
        <is>
          <t>第一次合同：3年：
2025/9/29-2028/9/28</t>
        </is>
      </c>
      <c r="AI193" s="82">
        <f>DATEDIF(--TEXT(MID(AC193,7,8),"0-00-00"),TODAY(),"y")</f>
        <v/>
      </c>
      <c r="AJ193" s="548">
        <f>TEXT(MID(AC193,7,8),"0000-00-00")</f>
        <v/>
      </c>
      <c r="AK193" s="95">
        <f>CHOOSE(MONTH(AJ193),1,1,1,2,2,2,3,3,3,4,4,4)</f>
        <v/>
      </c>
    </row>
    <row r="194" customFormat="1" s="549">
      <c r="A194" s="197" t="n">
        <v>112</v>
      </c>
      <c r="B194" s="291" t="inlineStr">
        <is>
          <t>赵义泽
（lastday2025/11/14试用期不合格劝退，无赔偿顺利结束）</t>
        </is>
      </c>
      <c r="C194" s="292" t="inlineStr">
        <is>
          <t>北京文石</t>
        </is>
      </c>
      <c r="D194" s="292" t="inlineStr">
        <is>
          <t>男</t>
        </is>
      </c>
      <c r="E194" s="549" t="n">
        <v>16000</v>
      </c>
      <c r="F194" s="293" t="inlineStr">
        <is>
          <t>工资：16K,签订3年合同，试用期6个月，前3个月8折（社保补贴：2400，公积金补贴：700，基本薪资：2420，绩效：5240，外派津贴：5240）
到岗时间：2025年10月13日</t>
        </is>
      </c>
      <c r="G194" s="550" t="inlineStr">
        <is>
          <t>电子签-北京文石
员工已签署闭环
材料齐全</t>
        </is>
      </c>
      <c r="H194" s="294" t="inlineStr">
        <is>
          <t>前端开发工程师（可视化方向）</t>
        </is>
      </c>
      <c r="I194" s="295" t="n">
        <v>45943</v>
      </c>
      <c r="J194" s="552" t="inlineStr">
        <is>
          <t>2025/11/14lastday其实是项目觉得试用期不合适释放，员工无赔偿
1.12月5日结算（10月25-11月14日薪资）
2、11月11日下午请调休假0.5天
3、调休数据暂定显示0.88天未确认
4、无其他报销</t>
        </is>
      </c>
      <c r="K194" s="533" t="n">
        <v>46124</v>
      </c>
      <c r="L194" s="553" t="n">
        <v>45931</v>
      </c>
      <c r="M194" s="549" t="inlineStr">
        <is>
          <t>北京</t>
        </is>
      </c>
      <c r="N194" s="549" t="inlineStr">
        <is>
          <t>北京</t>
        </is>
      </c>
      <c r="O194" s="554" t="inlineStr">
        <is>
          <t>12.8k</t>
        </is>
      </c>
      <c r="P194" s="554" t="inlineStr">
        <is>
          <t>16K</t>
        </is>
      </c>
      <c r="Q194" s="532" t="n">
        <v>0</v>
      </c>
      <c r="R194" s="532" t="n">
        <v>0</v>
      </c>
      <c r="S194" s="532" t="n">
        <v>0</v>
      </c>
      <c r="T194" s="296" t="inlineStr">
        <is>
          <t>第一次合同：3年：
2025/10/13-2028/10/12</t>
        </is>
      </c>
      <c r="U194" s="550" t="inlineStr">
        <is>
          <t>6个月</t>
        </is>
      </c>
      <c r="V194" s="297" t="inlineStr">
        <is>
          <t>计算机科学与技术</t>
        </is>
      </c>
      <c r="W194" s="294" t="inlineStr">
        <is>
          <t>2021年06</t>
        </is>
      </c>
      <c r="X194" s="294" t="inlineStr">
        <is>
          <t>民本</t>
        </is>
      </c>
      <c r="Y194" s="292" t="inlineStr">
        <is>
          <t>2332836574@qq.com</t>
        </is>
      </c>
      <c r="Z194" s="292" t="inlineStr">
        <is>
          <t>山东省菏泽市牡丹区王浩屯镇孙化屯行政村孙化屯村775号</t>
        </is>
      </c>
      <c r="AA194" s="549" t="inlineStr">
        <is>
          <t>北京昌平区沙河镇怀英街5号院</t>
        </is>
      </c>
      <c r="AB194" s="294" t="n">
        <v>19861650570</v>
      </c>
      <c r="AC194" s="498" t="inlineStr">
        <is>
          <t>371702200608297239</t>
        </is>
      </c>
      <c r="AD194" s="498" t="inlineStr">
        <is>
          <t>6217000010205010450</t>
        </is>
      </c>
      <c r="AE194" s="549" t="inlineStr">
        <is>
          <t>中国建设银行股份有限公司北京昌平东街支行</t>
        </is>
      </c>
      <c r="AF194" s="549" t="n"/>
      <c r="AG194" s="549" t="inlineStr">
        <is>
          <t>否</t>
        </is>
      </c>
      <c r="AH194" s="296" t="inlineStr">
        <is>
          <t>第一次合同：3年：
2025/10/13-2028/10/12</t>
        </is>
      </c>
      <c r="AI194" s="82">
        <f>DATEDIF(--TEXT(MID(AC194,7,8),"0-00-00"),TODAY(),"y")</f>
        <v/>
      </c>
      <c r="AJ194" s="548">
        <f>TEXT(MID(AC194,7,8),"0000-00-00")</f>
        <v/>
      </c>
      <c r="AK194" s="95">
        <f>CHOOSE(MONTH(AJ194),1,1,1,2,2,2,3,3,3,4,4,4)</f>
        <v/>
      </c>
    </row>
    <row r="195" customFormat="1" s="549">
      <c r="A195" s="197" t="n">
        <v>100</v>
      </c>
      <c r="B195" s="293" t="inlineStr">
        <is>
          <t>屈飞阳
2026/2/6l个人原因astday</t>
        </is>
      </c>
      <c r="C195" s="292" t="inlineStr">
        <is>
          <t>上海文石</t>
        </is>
      </c>
      <c r="D195" s="292" t="inlineStr">
        <is>
          <t>男</t>
        </is>
      </c>
      <c r="E195" s="549" t="n">
        <v>18500</v>
      </c>
      <c r="F195" s="293" t="inlineStr">
        <is>
          <t>工资：18.5K,签订3年合同，试用期6个月，前3个月8折【注意：短期半年岗位-人力预算---员工不知道是短期的；基础薪资：2600，社保：2900，公积金：800，绩效：6100，外派津贴：6100】
试用期：基本工资2600元/月，绩效工资4250元/月，外派津贴4250元/月，社保补贴2900元/月，公积金补贴800元/月，合计14800元/月。
转正：基本工资2600元/月，绩效工资6100元/月，外派津贴6100元/月，社保补贴2900元/月，公积金补贴800元/月，合计18500元/月。</t>
        </is>
      </c>
      <c r="G195" s="550" t="inlineStr">
        <is>
          <t>电子签-上海文石
员工已签署闭环
材料齐全
1.25-2.6考勤一切正常（漏打卡的已补卡）【3.5发放1.25-2.6薪资】，无调休，无其他报销</t>
        </is>
      </c>
      <c r="H195" s="294" t="inlineStr">
        <is>
          <t>数据测试工程师</t>
        </is>
      </c>
      <c r="I195" s="295" t="n">
        <v>45943</v>
      </c>
      <c r="J195" s="551" t="n">
        <v>46059</v>
      </c>
      <c r="K195" s="533" t="n">
        <v>46124</v>
      </c>
      <c r="L195" s="553" t="n">
        <v>45931</v>
      </c>
      <c r="M195" s="549" t="inlineStr">
        <is>
          <t>上海</t>
        </is>
      </c>
      <c r="N195" s="549" t="inlineStr">
        <is>
          <t>上海</t>
        </is>
      </c>
      <c r="O195" s="549" t="inlineStr">
        <is>
          <t>14.8k</t>
        </is>
      </c>
      <c r="P195" s="549" t="inlineStr">
        <is>
          <t>18.5K</t>
        </is>
      </c>
      <c r="Q195" s="549" t="n">
        <v>0</v>
      </c>
      <c r="R195" s="549" t="n">
        <v>0</v>
      </c>
      <c r="S195" s="549" t="n">
        <v>0</v>
      </c>
      <c r="T195" s="296" t="inlineStr">
        <is>
          <t>第一次合同：3年：
2025/10/13-2028/10/12</t>
        </is>
      </c>
      <c r="U195" s="550" t="inlineStr">
        <is>
          <t>6个月</t>
        </is>
      </c>
      <c r="V195" s="297" t="inlineStr">
        <is>
          <t>计算机应用技术</t>
        </is>
      </c>
      <c r="W195" s="294" t="inlineStr">
        <is>
          <t>2022年06</t>
        </is>
      </c>
      <c r="X195" s="294" t="inlineStr">
        <is>
          <t>大专</t>
        </is>
      </c>
      <c r="Y195" s="292" t="inlineStr">
        <is>
          <t>2640888235@qq.com</t>
        </is>
      </c>
      <c r="Z195" s="292" t="inlineStr">
        <is>
          <t>湖北省黄冈市河浦镇屈家咀村一组</t>
        </is>
      </c>
      <c r="AA195" s="549" t="inlineStr">
        <is>
          <t>上海市嘉定区塔山路万立城15栋1108</t>
        </is>
      </c>
      <c r="AB195" s="294" t="n">
        <v>19279940810</v>
      </c>
      <c r="AC195" s="498" t="inlineStr">
        <is>
          <t>421123199808105631</t>
        </is>
      </c>
      <c r="AD195" s="498" t="inlineStr">
        <is>
          <t>6217001180092578015</t>
        </is>
      </c>
      <c r="AE195" s="549" t="inlineStr">
        <is>
          <t>中国建设银行股份有限公司上海安亭支行</t>
        </is>
      </c>
      <c r="AF195" s="549" t="n"/>
      <c r="AG195" s="549" t="inlineStr">
        <is>
          <t>否</t>
        </is>
      </c>
      <c r="AH195" s="296" t="inlineStr">
        <is>
          <t>第一次合同：3年：
2025/10/13-2028/10/12</t>
        </is>
      </c>
      <c r="AI195" s="197">
        <f>DATEDIF(--TEXT(MID(AC195,7,8),"0-00-00"),TODAY(),"y")</f>
        <v/>
      </c>
      <c r="AJ195" s="578">
        <f>TEXT(MID(AC195,7,8),"0000-00-00")</f>
        <v/>
      </c>
      <c r="AK195" s="243">
        <f>CHOOSE(MONTH(AJ195),1,1,1,2,2,2,3,3,3,4,4,4)</f>
        <v/>
      </c>
    </row>
    <row r="196" customFormat="1" s="589">
      <c r="A196" s="298" t="n">
        <v>101</v>
      </c>
      <c r="B196" s="299" t="inlineStr">
        <is>
          <t>董勋钊（其他欣琰项目）-自然月结算
从10月20号到本月3号是一直在灵山出勤的，每天额外补贴50元
一个月再找财务算个税-2026/1/19 个人离职</t>
        </is>
      </c>
      <c r="C196" s="300" t="inlineStr">
        <is>
          <t>南京文石</t>
        </is>
      </c>
      <c r="D196" s="300" t="inlineStr">
        <is>
          <t>男</t>
        </is>
      </c>
      <c r="E196" s="589" t="inlineStr">
        <is>
          <t>450/天</t>
        </is>
      </c>
      <c r="F196" s="301" t="inlineStr">
        <is>
          <t>南京（兼职短期)劳务费：450/天，薪资：2周一结。合同：签6-12个月的兼职合同
到岗时间：2025年10月16日（本周四）
其他：不缴纳五险一金
从10月20号到本月3号是一直在灵山出勤的，每天额外补贴50元</t>
        </is>
      </c>
      <c r="G196" s="590" t="inlineStr">
        <is>
          <t>劳务合同电子签-南京文石
员工已签署闭环
材料齐全</t>
        </is>
      </c>
      <c r="H196" s="303" t="inlineStr">
        <is>
          <t>Java工程师-兼职</t>
        </is>
      </c>
      <c r="I196" s="304" t="n">
        <v>45946</v>
      </c>
      <c r="J196" s="591" t="inlineStr">
        <is>
          <t>2026/1/19 个人离职</t>
        </is>
      </c>
      <c r="K196" s="571" t="inlineStr">
        <is>
          <t>/</t>
        </is>
      </c>
      <c r="L196" s="592" t="inlineStr">
        <is>
          <t>劳务不缴纳</t>
        </is>
      </c>
      <c r="M196" s="589" t="inlineStr">
        <is>
          <t>南京</t>
        </is>
      </c>
      <c r="N196" s="589" t="inlineStr">
        <is>
          <t>南京</t>
        </is>
      </c>
      <c r="O196" s="589" t="inlineStr">
        <is>
          <t>450/天</t>
        </is>
      </c>
      <c r="P196" s="589" t="inlineStr">
        <is>
          <t>450/天</t>
        </is>
      </c>
      <c r="Q196" s="554" t="n">
        <v>0</v>
      </c>
      <c r="R196" s="554" t="n">
        <v>0</v>
      </c>
      <c r="S196" s="554" t="n">
        <v>0</v>
      </c>
      <c r="T196" s="307" t="inlineStr">
        <is>
          <t>第一次合同：劳务
2025/10/16-2026.1.19</t>
        </is>
      </c>
      <c r="U196" s="590" t="inlineStr">
        <is>
          <t>兼职劳务无试用期</t>
        </is>
      </c>
      <c r="V196" s="308" t="inlineStr">
        <is>
          <t>计算机应用技术</t>
        </is>
      </c>
      <c r="W196" s="303" t="inlineStr">
        <is>
          <t>2022年06</t>
        </is>
      </c>
      <c r="X196" s="303" t="inlineStr">
        <is>
          <t>大专</t>
        </is>
      </c>
      <c r="Y196" s="300" t="inlineStr">
        <is>
          <t>1966934054@qq.com</t>
        </is>
      </c>
      <c r="Z196" s="300" t="inlineStr">
        <is>
          <t>河南省濮阳县户部寨镇申庄村01号</t>
        </is>
      </c>
      <c r="AA196" s="589" t="inlineStr">
        <is>
          <t>南京市秦淮区建康花苑3栋3单元706</t>
        </is>
      </c>
      <c r="AB196" s="303" t="n">
        <v>16650562992</v>
      </c>
      <c r="AC196" s="499" t="inlineStr">
        <is>
          <t>410928200012161572</t>
        </is>
      </c>
      <c r="AD196" s="300" t="inlineStr">
        <is>
          <t>‘6214671370019383708</t>
        </is>
      </c>
      <c r="AE196" s="589" t="inlineStr">
        <is>
          <t>中国建设银行股份有限公司南京珠江路支行</t>
        </is>
      </c>
      <c r="AF196" s="589" t="n"/>
      <c r="AG196" s="589" t="inlineStr">
        <is>
          <t>否</t>
        </is>
      </c>
      <c r="AH196" s="593" t="inlineStr">
        <is>
          <t>劳务不存在过期</t>
        </is>
      </c>
      <c r="AI196" s="230">
        <f>DATEDIF(--TEXT(MID(AC196,7,8),"0-00-00"),TODAY(),"y")</f>
        <v/>
      </c>
      <c r="AJ196" s="577">
        <f>TEXT(MID(AC196,7,8),"0000-00-00")</f>
        <v/>
      </c>
      <c r="AK196" s="237">
        <f>CHOOSE(MONTH(AJ196),1,1,1,2,2,2,3,3,3,4,4,4)</f>
        <v/>
      </c>
      <c r="AM196" s="298">
        <f>_xlfn.DISPIMG("ID_A970069B418049BF84CAE061C3DBE861",1)</f>
        <v/>
      </c>
    </row>
    <row r="197" s="558">
      <c r="A197" s="279" t="n">
        <v>102</v>
      </c>
      <c r="B197" s="312" t="inlineStr">
        <is>
          <t>李锦泽
（确认期待涨薪最终没涨哈）</t>
        </is>
      </c>
      <c r="C197" s="266" t="inlineStr">
        <is>
          <t>今才</t>
        </is>
      </c>
      <c r="D197" s="264" t="inlineStr">
        <is>
          <t>男</t>
        </is>
      </c>
      <c r="E197" s="532">
        <f>15000</f>
        <v/>
      </c>
      <c r="F197" s="266" t="inlineStr">
        <is>
          <t>工资:15K,签订3年合同，试用期6个月，前3个月8折,
（注意：需求表格中备注为一年期到26年10月20日结束，人选不知情；基础薪资：2400，社保补贴：2800，公积金补贴：700，绩效：4550，外派津贴：4550）
到岗时间：2025年10月20日</t>
        </is>
      </c>
      <c r="G197" s="541" t="inlineStr">
        <is>
          <t>电子签-南京文石
员工已签署闭环
材料齐全</t>
        </is>
      </c>
      <c r="H197" s="268" t="inlineStr">
        <is>
          <t>功能FAE（量产下线及实车验证）</t>
        </is>
      </c>
      <c r="I197" s="269" t="n">
        <v>45950</v>
      </c>
      <c r="J197" s="533" t="inlineStr">
        <is>
          <t>/</t>
        </is>
      </c>
      <c r="K197" s="533" t="n">
        <v>46131</v>
      </c>
      <c r="L197" s="534" t="n">
        <v>45962</v>
      </c>
      <c r="M197" s="532" t="inlineStr">
        <is>
          <t>重庆</t>
        </is>
      </c>
      <c r="N197" s="532" t="inlineStr">
        <is>
          <t>重庆</t>
        </is>
      </c>
      <c r="O197" s="532">
        <f>15000*0.8</f>
        <v/>
      </c>
      <c r="P197" s="532" t="inlineStr">
        <is>
          <t>15K</t>
        </is>
      </c>
      <c r="Q197" s="532" t="n">
        <v>0</v>
      </c>
      <c r="R197" s="532" t="n">
        <v>0</v>
      </c>
      <c r="S197" s="532" t="n">
        <v>0</v>
      </c>
      <c r="T197" s="267" t="inlineStr">
        <is>
          <t>第一次合同：3年：
2025/10/20-2028/10/19</t>
        </is>
      </c>
      <c r="U197" s="541" t="inlineStr">
        <is>
          <t>6个月</t>
        </is>
      </c>
      <c r="V197" s="270" t="inlineStr">
        <is>
          <t>车辆工程</t>
        </is>
      </c>
      <c r="W197" s="268" t="inlineStr">
        <is>
          <t>2023年06</t>
        </is>
      </c>
      <c r="X197" s="268" t="inlineStr">
        <is>
          <t>本科</t>
        </is>
      </c>
      <c r="Y197" s="458" t="inlineStr">
        <is>
          <t>2481691777@qq.com</t>
        </is>
      </c>
      <c r="Z197" s="264" t="inlineStr">
        <is>
          <t>山西省运城市临猗县耽子镇孙远村第十组</t>
        </is>
      </c>
      <c r="AA197" s="532" t="inlineStr">
        <is>
          <t>重庆市江北区和韵路24号龙湖冠寓重庆两江鱼嘴店26栋901</t>
        </is>
      </c>
      <c r="AB197" s="268" t="n">
        <v>15623083761</v>
      </c>
      <c r="AC197" s="496" t="inlineStr">
        <is>
          <t>142724200404043313</t>
        </is>
      </c>
      <c r="AD197" s="264" t="inlineStr">
        <is>
          <t>；6214672870004700237</t>
        </is>
      </c>
      <c r="AE197" s="532" t="inlineStr">
        <is>
          <t>中国建设银行武汉硚口支行</t>
        </is>
      </c>
      <c r="AG197" s="532" t="inlineStr">
        <is>
          <t>是</t>
        </is>
      </c>
      <c r="AH197" s="267" t="inlineStr">
        <is>
          <t>第一次合同：3年：
2025/10/20-2028/10/19</t>
        </is>
      </c>
      <c r="AI197" s="82">
        <f>DATEDIF(--TEXT(MID(AC197,7,8),"0-00-00"),TODAY(),"y")</f>
        <v/>
      </c>
      <c r="AJ197" s="548">
        <f>TEXT(MID(AC197,7,8),"0000-00-00")</f>
        <v/>
      </c>
      <c r="AK197" s="95">
        <f>CHOOSE(MONTH(AJ197),1,1,1,2,2,2,3,3,3,4,4,4)</f>
        <v/>
      </c>
    </row>
    <row r="198" s="558">
      <c r="A198" s="279" t="n">
        <v>103</v>
      </c>
      <c r="B198" s="276" t="inlineStr">
        <is>
          <t>张陈阳
（大陆芯）
2026年5月8日lastday</t>
        </is>
      </c>
      <c r="C198" s="264" t="inlineStr">
        <is>
          <t>上海文石</t>
        </is>
      </c>
      <c r="D198" s="264" t="inlineStr">
        <is>
          <t>男</t>
        </is>
      </c>
      <c r="E198" s="532" t="n">
        <v>16500</v>
      </c>
      <c r="F198" s="266" t="inlineStr">
        <is>
          <t>工资：16.5K,签订3年合同，试用期6个月，前3个月8折
（基本薪资：2600，社保补贴：2400，公积金补贴：700，绩效：5400，外派津贴：5400）
到岗时间：2025年10月20日</t>
        </is>
      </c>
      <c r="G198" s="541" t="inlineStr">
        <is>
          <t>电子签-上海文石
员工已签署闭环
材料齐全</t>
        </is>
      </c>
      <c r="H198" s="268" t="inlineStr">
        <is>
          <t>行车测试工程师</t>
        </is>
      </c>
      <c r="I198" s="269" t="n">
        <v>45950</v>
      </c>
      <c r="J198" s="547" t="inlineStr">
        <is>
          <t>2026年5月8日lastday
个人原因离职原因是照顾他生病奶奶</t>
        </is>
      </c>
      <c r="K198" s="533" t="n">
        <v>46131</v>
      </c>
      <c r="L198" s="534" t="n">
        <v>45962</v>
      </c>
      <c r="M198" s="532" t="inlineStr">
        <is>
          <t>上海</t>
        </is>
      </c>
      <c r="N198" s="532" t="inlineStr">
        <is>
          <t>上海</t>
        </is>
      </c>
      <c r="O198" s="532">
        <f>16500*0.8</f>
        <v/>
      </c>
      <c r="P198" s="532" t="inlineStr">
        <is>
          <t>16.5K</t>
        </is>
      </c>
      <c r="Q198" s="532" t="n">
        <v>0</v>
      </c>
      <c r="R198" s="532" t="n">
        <v>0</v>
      </c>
      <c r="S198" s="532" t="n">
        <v>0</v>
      </c>
      <c r="T198" s="267" t="inlineStr">
        <is>
          <t>第一次合同：3年：
2025/10/20-2028/10/19</t>
        </is>
      </c>
      <c r="U198" s="541" t="inlineStr">
        <is>
          <t>6个月</t>
        </is>
      </c>
      <c r="V198" s="270" t="inlineStr">
        <is>
          <t>计算机应用技术</t>
        </is>
      </c>
      <c r="W198" s="268" t="inlineStr">
        <is>
          <t>2021年06</t>
        </is>
      </c>
      <c r="X198" s="268" t="inlineStr">
        <is>
          <t>大专</t>
        </is>
      </c>
      <c r="Y198" s="264" t="inlineStr">
        <is>
          <t>zyy017@126.com</t>
        </is>
      </c>
      <c r="Z198" s="264" t="inlineStr">
        <is>
          <t>河南省周口市太康县高贤乡炉坊大队沟张庄</t>
        </is>
      </c>
      <c r="AA198" s="532" t="inlineStr">
        <is>
          <t xml:space="preserve"> 江苏苏州昆山华桥裕花园11栋1902</t>
        </is>
      </c>
      <c r="AB198" s="268" t="n">
        <v>13145107766</v>
      </c>
      <c r="AC198" s="496" t="inlineStr">
        <is>
          <t>412724199801042111</t>
        </is>
      </c>
      <c r="AD198" s="264" t="inlineStr">
        <is>
          <t>;6217002000085458992</t>
        </is>
      </c>
      <c r="AE198" s="532" t="inlineStr">
        <is>
          <t>中国建设银行股份有限公司苏州太平支行</t>
        </is>
      </c>
      <c r="AG198" s="532" t="inlineStr">
        <is>
          <t>是</t>
        </is>
      </c>
      <c r="AH198" s="267" t="inlineStr">
        <is>
          <t>第一次合同：3年：
2025/10/20-2028/10/19</t>
        </is>
      </c>
      <c r="AI198" s="82">
        <f>DATEDIF(--TEXT(MID(AC198,7,8),"0-00-00"),TODAY(),"y")</f>
        <v/>
      </c>
      <c r="AJ198" s="548">
        <f>TEXT(MID(AC198,7,8),"0000-00-00")</f>
        <v/>
      </c>
      <c r="AK198" s="95">
        <f>CHOOSE(MONTH(AJ198),1,1,1,2,2,2,3,3,3,4,4,4)</f>
        <v/>
      </c>
    </row>
    <row r="199" s="558">
      <c r="A199" s="279" t="n">
        <v>104</v>
      </c>
      <c r="B199" s="266" t="inlineStr">
        <is>
          <t>白春龙</t>
        </is>
      </c>
      <c r="C199" s="264" t="inlineStr">
        <is>
          <t>今才</t>
        </is>
      </c>
      <c r="D199" s="264" t="inlineStr">
        <is>
          <t>男</t>
        </is>
      </c>
      <c r="E199" s="532" t="n">
        <v>19500</v>
      </c>
      <c r="F199" s="266" t="inlineStr">
        <is>
          <t>工资19.5k,实际短期半年员工不知情签订3年合同，试用期6个月，前3个月打八折【重庆19.5k、基本工资2400、绩效：6050、外派津贴：6050、社保补贴：4000、公积金补贴：1000】
到岗时间：2025年10月27日</t>
        </is>
      </c>
      <c r="G199" s="541" t="inlineStr">
        <is>
          <t>电子签-南京文石
员工已签署闭环
材料齐全
有个每月500元补贴用发票？</t>
        </is>
      </c>
      <c r="H199" s="268" t="inlineStr">
        <is>
          <t>功能FAE（量产下线及实车验证）</t>
        </is>
      </c>
      <c r="I199" s="269" t="n">
        <v>45957</v>
      </c>
      <c r="J199" s="533" t="inlineStr">
        <is>
          <t>/</t>
        </is>
      </c>
      <c r="K199" s="533" t="n">
        <v>46199</v>
      </c>
      <c r="L199" s="534" t="n">
        <v>45962</v>
      </c>
      <c r="M199" s="532" t="inlineStr">
        <is>
          <t>重庆</t>
        </is>
      </c>
      <c r="N199" s="532" t="inlineStr">
        <is>
          <t>重庆</t>
        </is>
      </c>
      <c r="O199" s="532" t="n">
        <v>15600</v>
      </c>
      <c r="P199" s="532" t="n">
        <v>19500</v>
      </c>
      <c r="Q199" s="532" t="n">
        <v>0</v>
      </c>
      <c r="R199" s="532" t="n">
        <v>0</v>
      </c>
      <c r="S199" s="532" t="n">
        <v>0</v>
      </c>
      <c r="T199" s="267" t="inlineStr">
        <is>
          <t>第一次合同：3年：
2025/10/27-2028/10/26</t>
        </is>
      </c>
      <c r="U199" s="541" t="inlineStr">
        <is>
          <t>6个月</t>
        </is>
      </c>
      <c r="V199" s="270" t="inlineStr">
        <is>
          <t>矿山机宅</t>
        </is>
      </c>
      <c r="W199" s="268" t="n">
        <v>2011.06</v>
      </c>
      <c r="X199" s="268" t="inlineStr">
        <is>
          <t>大专</t>
        </is>
      </c>
      <c r="Y199" s="264" t="inlineStr">
        <is>
          <t>386789766@qq.com</t>
        </is>
      </c>
      <c r="Z199" s="264" t="inlineStr">
        <is>
          <t>黑龙江省鸡西市城子河区6井委9组17号</t>
        </is>
      </c>
      <c r="AA199" s="532" t="inlineStr">
        <is>
          <t>鱼嘴渝东家园5栋2单元06-02 D室</t>
        </is>
      </c>
      <c r="AB199" s="268" t="n">
        <v>15901640029</v>
      </c>
      <c r="AC199" s="264" t="inlineStr">
        <is>
          <t>23030619910724571X</t>
        </is>
      </c>
      <c r="AD199" s="496" t="inlineStr">
        <is>
          <t>6215340301710525311</t>
        </is>
      </c>
      <c r="AE199" s="532" t="inlineStr">
        <is>
          <t>中国建设银行股份有限公司上海白鹤支行</t>
        </is>
      </c>
      <c r="AG199" s="532" t="inlineStr">
        <is>
          <t>是</t>
        </is>
      </c>
      <c r="AH199" s="267" t="inlineStr">
        <is>
          <t>第一次合同：3年：
2025/10/27-2028/10/26</t>
        </is>
      </c>
      <c r="AI199" s="82">
        <f>DATEDIF(--TEXT(MID(AC199,7,8),"0-00-00"),TODAY(),"y")</f>
        <v/>
      </c>
      <c r="AJ199" s="548">
        <f>TEXT(MID(AC199,7,8),"0000-00-00")</f>
        <v/>
      </c>
      <c r="AK199" s="95">
        <f>CHOOSE(MONTH(AJ199),1,1,1,2,2,2,3,3,3,4,4,4)</f>
        <v/>
      </c>
    </row>
    <row r="200" s="558">
      <c r="A200" s="279" t="n">
        <v>105</v>
      </c>
      <c r="B200" s="266" t="inlineStr">
        <is>
          <t>罗超</t>
        </is>
      </c>
      <c r="C200" s="264" t="inlineStr">
        <is>
          <t>今才</t>
        </is>
      </c>
      <c r="D200" s="264" t="inlineStr">
        <is>
          <t>男</t>
        </is>
      </c>
      <c r="E200" s="532" t="n">
        <v>15000</v>
      </c>
      <c r="F200" s="266" t="inlineStr">
        <is>
          <t>工资：15K，实际短期半年员工不知情签订3年合同，试用期6个月，前3个月打八折
【重庆15K，基本工资：2400，社保补贴：2800，公积金补贴：700，绩效和外派津贴各占50%（各4550）】
到岗时间：2025年10月29日</t>
        </is>
      </c>
      <c r="G200" s="541" t="inlineStr">
        <is>
          <t>电子签-南京文石
员工已签署闭环
材料齐全</t>
        </is>
      </c>
      <c r="H200" s="268" t="inlineStr">
        <is>
          <t>功能FAE(全栈问题分析方向)</t>
        </is>
      </c>
      <c r="I200" s="269" t="n">
        <v>45959</v>
      </c>
      <c r="J200" s="533" t="inlineStr">
        <is>
          <t>/</t>
        </is>
      </c>
      <c r="K200" s="533" t="n">
        <v>46201</v>
      </c>
      <c r="L200" s="534" t="n">
        <v>45962</v>
      </c>
      <c r="M200" s="532" t="inlineStr">
        <is>
          <t>重庆</t>
        </is>
      </c>
      <c r="N200" s="532" t="inlineStr">
        <is>
          <t>重庆</t>
        </is>
      </c>
      <c r="O200" s="532" t="n">
        <v>12000</v>
      </c>
      <c r="P200" s="532" t="n">
        <v>15000</v>
      </c>
      <c r="Q200" s="532" t="n">
        <v>0</v>
      </c>
      <c r="R200" s="532" t="n">
        <v>0</v>
      </c>
      <c r="S200" s="532" t="n">
        <v>0</v>
      </c>
      <c r="T200" s="267" t="inlineStr">
        <is>
          <t>第一次合同：3年：
2025/10/29-2028/10/28</t>
        </is>
      </c>
      <c r="U200" s="541" t="inlineStr">
        <is>
          <t>6个月</t>
        </is>
      </c>
      <c r="V200" s="270" t="inlineStr">
        <is>
          <t>交通运营管理</t>
        </is>
      </c>
      <c r="W200" s="268" t="n">
        <v>2019.06</v>
      </c>
      <c r="X200" s="268" t="inlineStr">
        <is>
          <t>大专</t>
        </is>
      </c>
      <c r="Y200" s="264" t="inlineStr">
        <is>
          <t>957357932@qq.com</t>
        </is>
      </c>
      <c r="Z200" s="264" t="inlineStr">
        <is>
          <t>重庆市秀山县膏田镇枫香塘居委会枫香塘组63号附1号</t>
        </is>
      </c>
      <c r="AA200" s="532" t="inlineStr">
        <is>
          <t>重庆市沙坪坝区微电园龙湖好城时光9栋6-17</t>
        </is>
      </c>
      <c r="AB200" s="268" t="n">
        <v>15802399583</v>
      </c>
      <c r="AC200" s="496" t="inlineStr">
        <is>
          <t>500241199802034016</t>
        </is>
      </c>
      <c r="AD200" s="264" t="inlineStr">
        <is>
          <t>‘6217003760196211692</t>
        </is>
      </c>
      <c r="AE200" s="532" t="inlineStr">
        <is>
          <t>中国建设银行股份有限公司重庆两江龙兴支行</t>
        </is>
      </c>
      <c r="AG200" s="532" t="inlineStr">
        <is>
          <t>是</t>
        </is>
      </c>
      <c r="AH200" s="267" t="inlineStr">
        <is>
          <t>第一次合同：3年：
2025/10/29-2028/10/28</t>
        </is>
      </c>
      <c r="AI200" s="82">
        <f>DATEDIF(--TEXT(MID(AC200,7,8),"0-00-00"),TODAY(),"y")</f>
        <v/>
      </c>
      <c r="AJ200" s="548">
        <f>TEXT(MID(AC200,7,8),"0000-00-00")</f>
        <v/>
      </c>
      <c r="AK200" s="95">
        <f>CHOOSE(MONTH(AJ200),1,1,1,2,2,2,3,3,3,4,4,4)</f>
        <v/>
      </c>
    </row>
    <row r="201" s="558">
      <c r="A201" s="279" t="n">
        <v>106</v>
      </c>
      <c r="B201" s="266" t="inlineStr">
        <is>
          <t>卜汪洋</t>
        </is>
      </c>
      <c r="C201" s="264" t="inlineStr">
        <is>
          <t>上海文石</t>
        </is>
      </c>
      <c r="D201" s="264" t="inlineStr">
        <is>
          <t>男</t>
        </is>
      </c>
      <c r="E201" s="532" t="n">
        <v>15000</v>
      </c>
      <c r="F201" s="266" t="inlineStr">
        <is>
          <t xml:space="preserve">工资：15K，实际短期到26年2月份左右员工不知情，最终2026年4月29日汪总确认卜汪洋转长期了，合同不用发起因为本身就是长期三年合同。签三年合同，试用期6个月，前3个月打八折。【基础薪资：2600、社保补贴：2000、外派津贴：700、绩效：4850、外派津贴：4850】
到岗时间：2025年10月29日
</t>
        </is>
      </c>
      <c r="G201" s="541" t="inlineStr">
        <is>
          <t>电子签-上海文石
员工已签署闭环
材料齐全</t>
        </is>
      </c>
      <c r="H201" s="268" t="inlineStr">
        <is>
          <t>传感器标定测试工程师</t>
        </is>
      </c>
      <c r="I201" s="269" t="n">
        <v>45959</v>
      </c>
      <c r="J201" s="533" t="inlineStr">
        <is>
          <t>/</t>
        </is>
      </c>
      <c r="K201" s="533" t="n">
        <v>46201</v>
      </c>
      <c r="L201" s="534" t="n">
        <v>45962</v>
      </c>
      <c r="M201" s="532" t="inlineStr">
        <is>
          <t>上海</t>
        </is>
      </c>
      <c r="N201" s="532" t="inlineStr">
        <is>
          <t>上海</t>
        </is>
      </c>
      <c r="O201" s="532" t="n">
        <v>12000</v>
      </c>
      <c r="P201" s="532" t="n">
        <v>15000</v>
      </c>
      <c r="Q201" s="532" t="n">
        <v>0</v>
      </c>
      <c r="R201" s="532" t="n">
        <v>0</v>
      </c>
      <c r="S201" s="532" t="n">
        <v>0</v>
      </c>
      <c r="T201" s="267" t="inlineStr">
        <is>
          <t>第一次合同：3年：
2025/10/29-2028/10/28</t>
        </is>
      </c>
      <c r="U201" s="541" t="inlineStr">
        <is>
          <t>6个月</t>
        </is>
      </c>
      <c r="V201" s="270" t="inlineStr">
        <is>
          <t>计算机应用技术</t>
        </is>
      </c>
      <c r="W201" s="268" t="n">
        <v>2019.06</v>
      </c>
      <c r="X201" s="268" t="inlineStr">
        <is>
          <t>大专</t>
        </is>
      </c>
      <c r="Y201" s="264" t="inlineStr">
        <is>
          <t>BWY888@foxmail.com</t>
        </is>
      </c>
      <c r="Z201" s="264" t="inlineStr">
        <is>
          <t>河北省保定市唐县北店头乡西长店村3区30号</t>
        </is>
      </c>
      <c r="AA201" s="532" t="inlineStr">
        <is>
          <t>上海市浦东新区盛夏路1107弄1-121号玉兰香苑3期</t>
        </is>
      </c>
      <c r="AB201" s="268" t="n">
        <v>17532026760</v>
      </c>
      <c r="AC201" s="496" t="inlineStr">
        <is>
          <t>13062719980811221X</t>
        </is>
      </c>
      <c r="AD201" s="264" t="inlineStr">
        <is>
          <t>’6217000140033237882</t>
        </is>
      </c>
      <c r="AE201" s="532" t="inlineStr">
        <is>
          <t>中国建设银行保定唐县支行</t>
        </is>
      </c>
      <c r="AG201" s="532" t="inlineStr">
        <is>
          <t>是</t>
        </is>
      </c>
      <c r="AH201" s="267" t="inlineStr">
        <is>
          <t>第一次合同：3年：
2025/10/29-2028/10/28
最终2026年4月29日汪总确认卜汪洋转长期了，合同不用发起因为本身就是长期三年合同。</t>
        </is>
      </c>
      <c r="AI201" s="82">
        <f>DATEDIF(--TEXT(MID(AC201,7,8),"0-00-00"),TODAY(),"y")</f>
        <v/>
      </c>
      <c r="AJ201" s="548">
        <f>TEXT(MID(AC201,7,8),"0000-00-00")</f>
        <v/>
      </c>
      <c r="AK201" s="95">
        <f>CHOOSE(MONTH(AJ201),1,1,1,2,2,2,3,3,3,4,4,4)</f>
        <v/>
      </c>
    </row>
    <row r="202" ht="135" customFormat="1" customHeight="1" s="594">
      <c r="A202" s="313" t="n"/>
      <c r="B202" s="314" t="inlineStr">
        <is>
          <t>任玉华
就当没这个人</t>
        </is>
      </c>
      <c r="C202" s="315" t="inlineStr">
        <is>
          <t>南京文石</t>
        </is>
      </c>
      <c r="D202" s="315" t="inlineStr">
        <is>
          <t>男</t>
        </is>
      </c>
      <c r="E202" s="594" t="inlineStr">
        <is>
          <t>450/天</t>
        </is>
      </c>
      <c r="F202" s="314" t="inlineStr">
        <is>
          <t>工资：450元/天，签兼职合同（时间：6个月-1年起的项目），试用期7天（正常发薪）
不缴纳五险一金，发薪日：2周一结（第15天发前14天的薪资。加班情况已同步 没问题）
到岗时间：2025年11月3日（下周一）</t>
        </is>
      </c>
      <c r="G202" s="595" t="inlineStr">
        <is>
          <t>电子签-南京文石
员工已签署闭环
材料齐全</t>
        </is>
      </c>
      <c r="H202" s="317" t="inlineStr">
        <is>
          <t>Java工程师</t>
        </is>
      </c>
      <c r="I202" s="318" t="n">
        <v>45964</v>
      </c>
      <c r="J202" s="319" t="inlineStr">
        <is>
          <t>任玉华发了就不管他了，没有结算，也没有工资了，也没交接工作他</t>
        </is>
      </c>
      <c r="K202" s="533" t="inlineStr">
        <is>
          <t>/</t>
        </is>
      </c>
      <c r="L202" s="596" t="n">
        <v>45962</v>
      </c>
      <c r="M202" s="594" t="inlineStr">
        <is>
          <t>南京</t>
        </is>
      </c>
      <c r="N202" s="594" t="inlineStr">
        <is>
          <t>南京</t>
        </is>
      </c>
      <c r="O202" s="554" t="inlineStr">
        <is>
          <t>/</t>
        </is>
      </c>
      <c r="P202" s="554" t="inlineStr">
        <is>
          <t>/</t>
        </is>
      </c>
      <c r="Q202" s="532" t="n">
        <v>0</v>
      </c>
      <c r="R202" s="532" t="n">
        <v>0</v>
      </c>
      <c r="S202" s="532" t="n">
        <v>0</v>
      </c>
      <c r="T202" s="321" t="inlineStr">
        <is>
          <t>短期6-12个月兼职劳务合同
2025年11月3日-短期随时结束发起兼职结束流程</t>
        </is>
      </c>
      <c r="U202" s="595" t="inlineStr">
        <is>
          <t>/</t>
        </is>
      </c>
      <c r="V202" s="322" t="inlineStr">
        <is>
          <t>物联网应用技术</t>
        </is>
      </c>
      <c r="W202" s="317" t="n">
        <v>2021.06</v>
      </c>
      <c r="X202" s="317" t="inlineStr">
        <is>
          <t>大专</t>
        </is>
      </c>
      <c r="Y202" s="315" t="inlineStr">
        <is>
          <t>2497508270@qq.com</t>
        </is>
      </c>
      <c r="Z202" s="315" t="inlineStr">
        <is>
          <t>河南省林州市原康镇栗园村323号</t>
        </is>
      </c>
      <c r="AA202" s="594" t="inlineStr">
        <is>
          <t>南京浦口区滨江榴园1304</t>
        </is>
      </c>
      <c r="AB202" s="317" t="n">
        <v>17613432500</v>
      </c>
      <c r="AC202" s="315" t="inlineStr">
        <is>
          <t>41052119980318201X</t>
        </is>
      </c>
      <c r="AD202" s="315" t="inlineStr">
        <is>
          <t xml:space="preserve">；6217001630074140770 </t>
        </is>
      </c>
      <c r="AE202" s="594" t="inlineStr">
        <is>
          <t>中国建设银行合肥钟楼支行</t>
        </is>
      </c>
      <c r="AF202" s="594" t="n"/>
      <c r="AG202" s="594" t="inlineStr">
        <is>
          <t>否</t>
        </is>
      </c>
      <c r="AH202" s="597" t="inlineStr">
        <is>
          <t>短期6-12个月兼职劳务合同
2025年11月3日-短期随时结束发起兼职结束流程</t>
        </is>
      </c>
      <c r="AI202" s="82">
        <f>DATEDIF(--TEXT(MID(AC202,7,8),"0-00-00"),TODAY(),"y")</f>
        <v/>
      </c>
      <c r="AJ202" s="548">
        <f>TEXT(MID(AC202,7,8),"0000-00-00")</f>
        <v/>
      </c>
      <c r="AK202" s="95">
        <f>CHOOSE(MONTH(AJ202),1,1,1,2,2,2,3,3,3,4,4,4)</f>
        <v/>
      </c>
    </row>
    <row r="203" ht="135" customFormat="1" customHeight="1" s="594">
      <c r="A203" s="313" t="n"/>
      <c r="B203" s="314" t="inlineStr">
        <is>
          <t>康浩鹏
(试用期能力不行被辞退，不服气还投诉我们了索要离职证明)</t>
        </is>
      </c>
      <c r="C203" s="315" t="inlineStr">
        <is>
          <t>南京文石</t>
        </is>
      </c>
      <c r="D203" s="315" t="inlineStr">
        <is>
          <t>男</t>
        </is>
      </c>
      <c r="E203" s="594" t="inlineStr">
        <is>
          <t>400/天</t>
        </is>
      </c>
      <c r="F203" s="314" t="inlineStr">
        <is>
          <t>工资：400元/天，签兼职合同（6个月-1年起的项目），试用期7天（正常发薪）
不缴纳五险一金，发薪日：2周一结（加班情况已同步 没问题）
到岗时间：2025年11月3日（下周一）</t>
        </is>
      </c>
      <c r="G203" s="595" t="inlineStr">
        <is>
          <t>电子签-南京文石
员工已签署闭环
材料齐全</t>
        </is>
      </c>
      <c r="H203" s="317" t="inlineStr">
        <is>
          <t>Java工程师</t>
        </is>
      </c>
      <c r="I203" s="318" t="n">
        <v>45964</v>
      </c>
      <c r="J203" s="319" t="inlineStr">
        <is>
          <t>2025/11/10号，请假了一天
最终500元打款给他，撤销了投诉，也给了他离职证明</t>
        </is>
      </c>
      <c r="K203" s="533" t="inlineStr">
        <is>
          <t>/</t>
        </is>
      </c>
      <c r="L203" s="596" t="inlineStr">
        <is>
          <t>离职了不缴纳</t>
        </is>
      </c>
      <c r="M203" s="594" t="inlineStr">
        <is>
          <t>南京</t>
        </is>
      </c>
      <c r="N203" s="594" t="inlineStr">
        <is>
          <t>南京</t>
        </is>
      </c>
      <c r="O203" s="554" t="inlineStr">
        <is>
          <t>/</t>
        </is>
      </c>
      <c r="P203" s="554" t="inlineStr">
        <is>
          <t>/</t>
        </is>
      </c>
      <c r="Q203" s="532" t="n">
        <v>0</v>
      </c>
      <c r="R203" s="532" t="n">
        <v>0</v>
      </c>
      <c r="S203" s="532" t="n">
        <v>0</v>
      </c>
      <c r="T203" s="321" t="inlineStr">
        <is>
          <t>短期6-12个月兼职劳务合同
2025年11月3日-短期随时结束发起兼职结束流程</t>
        </is>
      </c>
      <c r="U203" s="595" t="inlineStr">
        <is>
          <t>/</t>
        </is>
      </c>
      <c r="V203" s="322" t="inlineStr">
        <is>
          <t>软件工程</t>
        </is>
      </c>
      <c r="W203" s="317" t="inlineStr">
        <is>
          <t>2024年07</t>
        </is>
      </c>
      <c r="X203" s="317" t="inlineStr">
        <is>
          <t>大专</t>
        </is>
      </c>
      <c r="Y203" s="315" t="inlineStr">
        <is>
          <t>1963470712@qq.com</t>
        </is>
      </c>
      <c r="Z203" s="315" t="inlineStr">
        <is>
          <t xml:space="preserve"> 江西省赣州市兴国县潋江镇杨澄村21号</t>
        </is>
      </c>
      <c r="AA203" s="594" t="inlineStr">
        <is>
          <t>南京市浦口区中海原山1栋402</t>
        </is>
      </c>
      <c r="AB203" s="317" t="n">
        <v>15007074662</v>
      </c>
      <c r="AC203" s="500" t="inlineStr">
        <is>
          <t>360732200007066414</t>
        </is>
      </c>
      <c r="AD203" s="315" t="inlineStr">
        <is>
          <t>6217 0020 8999 3138 903</t>
        </is>
      </c>
      <c r="AE203" s="594" t="inlineStr">
        <is>
          <t>建设银行上饶高铁经济区支行</t>
        </is>
      </c>
      <c r="AF203" s="594" t="n"/>
      <c r="AG203" s="594" t="inlineStr">
        <is>
          <t>否</t>
        </is>
      </c>
      <c r="AH203" s="597" t="inlineStr">
        <is>
          <t>短期6-12个月兼职合同
2025年11月3日-短期随时结束发起兼职结束流程</t>
        </is>
      </c>
      <c r="AI203" s="82">
        <f>DATEDIF(--TEXT(MID(AC203,7,8),"0-00-00"),TODAY(),"y")</f>
        <v/>
      </c>
      <c r="AJ203" s="548">
        <f>TEXT(MID(AC203,7,8),"0000-00-00")</f>
        <v/>
      </c>
      <c r="AK203" s="95">
        <f>CHOOSE(MONTH(AJ203),1,1,1,2,2,2,3,3,3,4,4,4)</f>
        <v/>
      </c>
    </row>
    <row r="204" customFormat="1" s="598">
      <c r="A204" s="324" t="n">
        <v>107</v>
      </c>
      <c r="B204" s="325" t="inlineStr">
        <is>
          <t>时泽著
2026年3月31日lastday-！！！工资上4月3日全部结清31日之前的工资</t>
        </is>
      </c>
      <c r="C204" s="598" t="inlineStr">
        <is>
          <t>上海文石</t>
        </is>
      </c>
      <c r="D204" s="326" t="inlineStr">
        <is>
          <t>男</t>
        </is>
      </c>
      <c r="E204" s="598">
        <f>18000+1000</f>
        <v/>
      </c>
      <c r="F204" s="325" t="inlineStr">
        <is>
          <t>工资：18K,时泽著从从2025年12月25号工资从18k涨到19k。实际短期半年员工不知情签订3年合同，试用期6个月，前3个月8折【基础薪资：2600，社保补贴：2800，公积金补贴：800，绩效：5900，外派津贴：5900】
到岗时间：2025年11月3日</t>
        </is>
      </c>
      <c r="G204" s="599" t="inlineStr">
        <is>
          <t>电子签-上海文石
员工已签署闭环
材料齐全</t>
        </is>
      </c>
      <c r="H204" s="328" t="inlineStr">
        <is>
          <t>规控软件测试工程师</t>
        </is>
      </c>
      <c r="I204" s="329" t="n">
        <v>45964</v>
      </c>
      <c r="J204" s="325" t="inlineStr">
        <is>
          <t>2026年3月31日lastday，因为个人能力和短期到期被客户释放，提的个人原因离职申请，
 lastday2026.3.31今天，离职交接已完成~
1、4.5结算（2.25-3.31工资）+（7000元赔偿）；3.25-3.31考勤正常，无请假调休
2、结余8天调休数据1:1折现，等客户最终确认发放
3、预计94.9元打车报销费用3.25已提交，等客户最终确认发放</t>
        </is>
      </c>
      <c r="K204" s="600" t="n">
        <v>46144</v>
      </c>
      <c r="L204" s="601" t="n">
        <v>45962</v>
      </c>
      <c r="M204" s="326" t="inlineStr">
        <is>
          <t>上海</t>
        </is>
      </c>
      <c r="N204" s="326" t="inlineStr">
        <is>
          <t>上海</t>
        </is>
      </c>
      <c r="O204" s="598">
        <f>Q204*0.8</f>
        <v/>
      </c>
      <c r="P204" s="598" t="n">
        <v>18000</v>
      </c>
      <c r="Q204" s="598" t="n">
        <v>0</v>
      </c>
      <c r="R204" s="598" t="n">
        <v>0</v>
      </c>
      <c r="S204" s="598" t="n">
        <v>0</v>
      </c>
      <c r="T204" s="332" t="inlineStr">
        <is>
          <t>第一次合同：3年：
2025/11/3-2028/11/2</t>
        </is>
      </c>
      <c r="U204" s="333" t="inlineStr">
        <is>
          <t>6个月</t>
        </is>
      </c>
      <c r="V204" s="333" t="inlineStr">
        <is>
          <t>计算机科学与技术</t>
        </is>
      </c>
      <c r="W204" s="328" t="n">
        <v>2022.06</v>
      </c>
      <c r="X204" s="326" t="inlineStr">
        <is>
          <t>本科</t>
        </is>
      </c>
      <c r="Y204" s="334" t="inlineStr">
        <is>
          <t>15830994199@163.com</t>
        </is>
      </c>
      <c r="Z204" s="335" t="inlineStr">
        <is>
          <t xml:space="preserve"> 河北省石家庄元氏县北正乡鹿台村台北路12号</t>
        </is>
      </c>
      <c r="AA204" s="598" t="inlineStr">
        <is>
          <t>上海市宝山区新村路789弄60-702</t>
        </is>
      </c>
      <c r="AB204" s="326" t="n">
        <v>15830994199</v>
      </c>
      <c r="AC204" s="501" t="inlineStr">
        <is>
          <t>130132199903045039</t>
        </is>
      </c>
      <c r="AD204" s="598" t="inlineStr">
        <is>
          <t>‘6217001180093064445</t>
        </is>
      </c>
      <c r="AE204" s="335" t="inlineStr">
        <is>
          <t>建设银行卡上海真华路支行</t>
        </is>
      </c>
      <c r="AF204" s="598" t="n"/>
      <c r="AG204" s="598" t="inlineStr">
        <is>
          <t>是</t>
        </is>
      </c>
      <c r="AH204" s="332" t="inlineStr">
        <is>
          <t>第一次合同：3年：
2025/11/3-2028/11/2</t>
        </is>
      </c>
      <c r="AI204" s="324">
        <f>DATEDIF(--TEXT(MID(AC204,7,8),"0-00-00"),TODAY(),"y")</f>
        <v/>
      </c>
      <c r="AJ204" s="602">
        <f>TEXT(MID(AC204,7,8),"0000-00-00")</f>
        <v/>
      </c>
      <c r="AK204" s="337">
        <f>CHOOSE(MONTH(AJ204),1,1,1,2,2,2,3,3,3,4,4,4)</f>
        <v/>
      </c>
    </row>
    <row r="205" s="558">
      <c r="A205" s="82" t="n">
        <v>108</v>
      </c>
      <c r="B205" s="266" t="inlineStr">
        <is>
          <t>吴帅</t>
        </is>
      </c>
      <c r="C205" s="264" t="inlineStr">
        <is>
          <t>今才</t>
        </is>
      </c>
      <c r="D205" s="264" t="inlineStr">
        <is>
          <t>男</t>
        </is>
      </c>
      <c r="E205" s="532" t="n">
        <v>15000</v>
      </c>
      <c r="F205" s="266" t="inlineStr">
        <is>
          <t>15K,签订3年合同，试用期6个月，前3个月8折（注意：需求表格中备注为一年期，人选不知情；基础薪资：2400，社保补贴：2800，公积金补贴：700，绩效：4550，外派津贴：4550）</t>
        </is>
      </c>
      <c r="G205" s="541" t="inlineStr">
        <is>
          <t>电子签-南京文石
员工已签署闭环
材料齐全</t>
        </is>
      </c>
      <c r="H205" s="268" t="inlineStr">
        <is>
          <t>功能FAE（量产下线及实车验证）</t>
        </is>
      </c>
      <c r="I205" s="269" t="n">
        <v>45966</v>
      </c>
      <c r="J205" s="533" t="inlineStr">
        <is>
          <t>/</t>
        </is>
      </c>
      <c r="K205" s="533" t="n">
        <v>46146</v>
      </c>
      <c r="L205" s="534" t="n">
        <v>45962</v>
      </c>
      <c r="M205" s="532" t="inlineStr">
        <is>
          <t>重庆</t>
        </is>
      </c>
      <c r="N205" s="532" t="inlineStr">
        <is>
          <t>重庆</t>
        </is>
      </c>
      <c r="O205" s="532" t="n">
        <v>12000</v>
      </c>
      <c r="P205" s="532" t="n">
        <v>15000</v>
      </c>
      <c r="Q205" s="532" t="n">
        <v>0</v>
      </c>
      <c r="R205" s="532" t="n">
        <v>0</v>
      </c>
      <c r="S205" s="532" t="n">
        <v>0</v>
      </c>
      <c r="T205" s="267" t="inlineStr">
        <is>
          <t>第一次合同：3年：
2025/11/5-2028/11/4</t>
        </is>
      </c>
      <c r="U205" s="541" t="inlineStr">
        <is>
          <t>6个月</t>
        </is>
      </c>
      <c r="V205" s="273" t="inlineStr">
        <is>
          <t xml:space="preserve"> 数据科学与大数据技术</t>
        </is>
      </c>
      <c r="W205" s="338" t="n">
        <v>44713</v>
      </c>
      <c r="X205" s="273" t="inlineStr">
        <is>
          <t>本科</t>
        </is>
      </c>
      <c r="Y205" s="264" t="inlineStr">
        <is>
          <t>3068268413@qq.com</t>
        </is>
      </c>
      <c r="Z205" s="264" t="inlineStr">
        <is>
          <t>四川省广安市前锋区新桥街道春雷村3组47号</t>
        </is>
      </c>
      <c r="AA205" s="532" t="inlineStr">
        <is>
          <t>重庆市万科四季花城1期12栋704</t>
        </is>
      </c>
      <c r="AB205" s="268" t="inlineStr">
        <is>
          <t>,18919530727</t>
        </is>
      </c>
      <c r="AC205" s="496" t="inlineStr">
        <is>
          <t>511602199612132133</t>
        </is>
      </c>
      <c r="AD205" s="273" t="inlineStr">
        <is>
          <t>‘6215340301711907799</t>
        </is>
      </c>
      <c r="AE205" s="273" t="inlineStr">
        <is>
          <t>中国建设银行上海金杨支行</t>
        </is>
      </c>
      <c r="AG205" s="532" t="inlineStr">
        <is>
          <t>是</t>
        </is>
      </c>
      <c r="AH205" s="267" t="inlineStr">
        <is>
          <t>第一次合同：3年：
2025/11/5-2028/11/4</t>
        </is>
      </c>
      <c r="AI205" s="82">
        <f>DATEDIF(--TEXT(MID(AC205,7,8),"0-00-00"),TODAY(),"y")</f>
        <v/>
      </c>
      <c r="AJ205" s="548">
        <f>TEXT(MID(AC205,7,8),"0000-00-00")</f>
        <v/>
      </c>
      <c r="AK205" s="95">
        <f>CHOOSE(MONTH(AJ205),1,1,1,2,2,2,3,3,3,4,4,4)</f>
        <v/>
      </c>
    </row>
    <row r="206" s="558">
      <c r="A206" s="82" t="n">
        <v>109</v>
      </c>
      <c r="B206" s="266" t="inlineStr">
        <is>
          <t>陈波</t>
        </is>
      </c>
      <c r="C206" s="264" t="inlineStr">
        <is>
          <t>今才</t>
        </is>
      </c>
      <c r="D206" s="264" t="inlineStr">
        <is>
          <t>男</t>
        </is>
      </c>
      <c r="E206" s="532" t="n">
        <v>18000</v>
      </c>
      <c r="F206" s="266" t="inlineStr">
        <is>
          <t>工资：18K，签订3年合同，试用期6个月，前3个月8折（注意：需求表格中备注为一年期，人选不知情；基础薪资：2400，社保：3600，公积金：800，绩效：5600，外派津贴：5600）</t>
        </is>
      </c>
      <c r="G206" s="541" t="inlineStr">
        <is>
          <t>电子签-南京文石
员工已签署闭环
材料齐全</t>
        </is>
      </c>
      <c r="H206" s="268" t="inlineStr">
        <is>
          <t>功能FAE（量产下线及实车验证）</t>
        </is>
      </c>
      <c r="I206" s="269" t="n">
        <v>45966</v>
      </c>
      <c r="J206" s="533" t="inlineStr">
        <is>
          <t>/</t>
        </is>
      </c>
      <c r="K206" s="533" t="n">
        <v>46146</v>
      </c>
      <c r="L206" s="534" t="n">
        <v>45962</v>
      </c>
      <c r="M206" s="532" t="inlineStr">
        <is>
          <t>重庆</t>
        </is>
      </c>
      <c r="N206" s="532" t="inlineStr">
        <is>
          <t>重庆</t>
        </is>
      </c>
      <c r="O206" s="532" t="n">
        <v>14400</v>
      </c>
      <c r="P206" s="532" t="n">
        <v>18000</v>
      </c>
      <c r="Q206" s="532" t="n">
        <v>0</v>
      </c>
      <c r="R206" s="532" t="n">
        <v>0</v>
      </c>
      <c r="S206" s="532" t="n">
        <v>0</v>
      </c>
      <c r="T206" s="267" t="inlineStr">
        <is>
          <t>第一次合同：3年：
2025/11/5-2028/11/4</t>
        </is>
      </c>
      <c r="U206" s="270" t="inlineStr">
        <is>
          <t>6个月</t>
        </is>
      </c>
      <c r="V206" s="273" t="inlineStr">
        <is>
          <t>连锁经营与管理</t>
        </is>
      </c>
      <c r="W206" s="339" t="inlineStr">
        <is>
          <t>2015.7.15</t>
        </is>
      </c>
      <c r="X206" s="268" t="inlineStr">
        <is>
          <t>大专</t>
        </is>
      </c>
      <c r="Y206" s="264" t="inlineStr">
        <is>
          <t>869833314@qq.com</t>
        </is>
      </c>
      <c r="Z206" s="264" t="inlineStr">
        <is>
          <t>四川省营山县西桥镇太极村七组</t>
        </is>
      </c>
      <c r="AA206" s="532" t="inlineStr">
        <is>
          <t>重庆市江北区鱼嘴镇和煦路107号和煦家园3幢6-2</t>
        </is>
      </c>
      <c r="AB206" s="268" t="inlineStr">
        <is>
          <t xml:space="preserve">，15919991861 </t>
        </is>
      </c>
      <c r="AC206" s="496" t="inlineStr">
        <is>
          <t xml:space="preserve">51132219931125569X </t>
        </is>
      </c>
      <c r="AD206" s="273" t="inlineStr">
        <is>
          <t>；6217007200065738802</t>
        </is>
      </c>
      <c r="AE206" s="532" t="inlineStr">
        <is>
          <t>中国建设银行股份有限公司深圳嘉宾路支行</t>
        </is>
      </c>
      <c r="AG206" s="532" t="inlineStr">
        <is>
          <t>是</t>
        </is>
      </c>
      <c r="AH206" s="267" t="inlineStr">
        <is>
          <t>第一次合同：3年：
2025/11/5-2028/11/4</t>
        </is>
      </c>
      <c r="AI206" s="82">
        <f>DATEDIF(--TEXT(MID(AC206,7,8),"0-00-00"),TODAY(),"y")</f>
        <v/>
      </c>
      <c r="AJ206" s="548">
        <f>TEXT(MID(AC206,7,8),"0000-00-00")</f>
        <v/>
      </c>
      <c r="AK206" s="95">
        <f>CHOOSE(MONTH(AJ206),1,1,1,2,2,2,3,3,3,4,4,4)</f>
        <v/>
      </c>
    </row>
    <row r="207" s="558">
      <c r="A207" s="82" t="n">
        <v>110</v>
      </c>
      <c r="B207" s="266" t="inlineStr">
        <is>
          <t>魏家安</t>
        </is>
      </c>
      <c r="C207" s="264" t="inlineStr">
        <is>
          <t>北京文石</t>
        </is>
      </c>
      <c r="D207" s="264" t="inlineStr">
        <is>
          <t>男</t>
        </is>
      </c>
      <c r="E207" s="532" t="n">
        <v>14000</v>
      </c>
      <c r="F207" s="266" t="inlineStr">
        <is>
          <t>工资：14K,签订3年合同，试用期6个月，前3个月8折【基础薪资：2420，社保补贴：2000，公积金补贴：600，绩效：4490，外派津贴：4490；土五项目预算，使用半年，人选不知情】2026年4月29日汪总确认魏家安转长期了，合同不用发起因为本身就是长期三年合同。</t>
        </is>
      </c>
      <c r="G207" s="541" t="inlineStr">
        <is>
          <t>电子签-北京文石
员工已签署闭环
材料齐全</t>
        </is>
      </c>
      <c r="H207" s="268" t="inlineStr">
        <is>
          <t>自动驾驶系统测试工程师（数据分析）</t>
        </is>
      </c>
      <c r="I207" s="269" t="n">
        <v>45966</v>
      </c>
      <c r="J207" s="533" t="inlineStr">
        <is>
          <t>/</t>
        </is>
      </c>
      <c r="K207" s="533" t="n">
        <v>46146</v>
      </c>
      <c r="L207" s="534" t="n">
        <v>45962</v>
      </c>
      <c r="M207" s="532" t="inlineStr">
        <is>
          <t>北京</t>
        </is>
      </c>
      <c r="N207" s="532" t="inlineStr">
        <is>
          <t>北京</t>
        </is>
      </c>
      <c r="O207" s="532" t="n">
        <v>11200</v>
      </c>
      <c r="P207" s="532" t="n">
        <v>14000</v>
      </c>
      <c r="Q207" s="532" t="n">
        <v>0</v>
      </c>
      <c r="R207" s="532" t="n">
        <v>0</v>
      </c>
      <c r="S207" s="532" t="n">
        <v>0</v>
      </c>
      <c r="T207" s="267" t="inlineStr">
        <is>
          <t>第一次合同：3年：
2025/11/5-2028/11/4</t>
        </is>
      </c>
      <c r="U207" s="541" t="inlineStr">
        <is>
          <t>6个月</t>
        </is>
      </c>
      <c r="V207" s="270" t="inlineStr">
        <is>
          <t>计算机应用技术</t>
        </is>
      </c>
      <c r="W207" s="340" t="n">
        <v>43983</v>
      </c>
      <c r="X207" s="268" t="inlineStr">
        <is>
          <t>大专</t>
        </is>
      </c>
      <c r="Y207" s="264" t="inlineStr">
        <is>
          <t>2987277835@qq.com</t>
        </is>
      </c>
      <c r="Z207" s="264" t="inlineStr">
        <is>
          <t>河北省衡水市深州市太古庄乡赵王庄村229号</t>
        </is>
      </c>
      <c r="AA207" s="532" t="inlineStr">
        <is>
          <t>北京市昌平区马池口镇白浮村22号</t>
        </is>
      </c>
      <c r="AB207" s="268" t="inlineStr">
        <is>
          <t xml:space="preserve">，15031851660   </t>
        </is>
      </c>
      <c r="AC207" s="496" t="inlineStr">
        <is>
          <t>131182199901264419</t>
        </is>
      </c>
      <c r="AD207" s="496" t="inlineStr">
        <is>
          <t>6215340300008286560</t>
        </is>
      </c>
      <c r="AE207" s="532" t="inlineStr">
        <is>
          <t>中国建设银行昌平支行</t>
        </is>
      </c>
      <c r="AG207" s="532" t="inlineStr">
        <is>
          <t>是</t>
        </is>
      </c>
      <c r="AH207" s="267" t="inlineStr">
        <is>
          <t>第一次合同：3年：
2025/11/5-2028/11/4
2026年4月29日汪总确认魏家安转长期了，合同不用发起因为本身就是长期三年合同。</t>
        </is>
      </c>
      <c r="AI207" s="82">
        <f>DATEDIF(--TEXT(MID(AC207,7,8),"0-00-00"),TODAY(),"y")</f>
        <v/>
      </c>
      <c r="AJ207" s="548">
        <f>TEXT(MID(AC207,7,8),"0000-00-00")</f>
        <v/>
      </c>
      <c r="AK207" s="95">
        <f>CHOOSE(MONTH(AJ207),1,1,1,2,2,2,3,3,3,4,4,4)</f>
        <v/>
      </c>
    </row>
    <row r="208" s="558">
      <c r="A208" s="82" t="n">
        <v>111</v>
      </c>
      <c r="B208" s="266" t="inlineStr">
        <is>
          <t>沈周</t>
        </is>
      </c>
      <c r="C208" s="264" t="inlineStr">
        <is>
          <t>上海文石</t>
        </is>
      </c>
      <c r="D208" s="264" t="inlineStr">
        <is>
          <t>男</t>
        </is>
      </c>
      <c r="E208" s="532" t="n">
        <v>14000</v>
      </c>
      <c r="F208" s="266" t="inlineStr">
        <is>
          <t>工资：14K，短期半年，人选不知情，2026年4月29日汪总确认沈周转长期了，合同不用发起因为本身就是长期三年合同。签订三年合同，试用期6个月，前3个月打八折【基础薪资：2600、社保补贴：1700、公积金补贴：600、绩效：4550、外派津贴：4550】
到岗时间：2025年11月10日</t>
        </is>
      </c>
      <c r="G208" s="541" t="inlineStr">
        <is>
          <t>电子签-上海文石
员工已签署闭环
材料齐全
沈周12月开始缴纳五险一金，11月上家缴过了</t>
        </is>
      </c>
      <c r="H208" s="268" t="inlineStr">
        <is>
          <t>自动驾驶系统测试工程师（数据分析）</t>
        </is>
      </c>
      <c r="I208" s="269" t="n">
        <v>45971</v>
      </c>
      <c r="J208" s="533" t="inlineStr">
        <is>
          <t>/</t>
        </is>
      </c>
      <c r="K208" s="533" t="n">
        <v>46151</v>
      </c>
      <c r="L208" s="534" t="n">
        <v>45962</v>
      </c>
      <c r="M208" s="532" t="inlineStr">
        <is>
          <t>上海</t>
        </is>
      </c>
      <c r="N208" s="532" t="inlineStr">
        <is>
          <t>上海</t>
        </is>
      </c>
      <c r="O208" s="532">
        <f>Q208*0.8</f>
        <v/>
      </c>
      <c r="P208" s="532" t="n">
        <v>14000</v>
      </c>
      <c r="Q208" s="532" t="n">
        <v>0</v>
      </c>
      <c r="R208" s="532" t="n">
        <v>0</v>
      </c>
      <c r="S208" s="532" t="n">
        <v>0</v>
      </c>
      <c r="T208" s="267" t="inlineStr">
        <is>
          <t>第一次合同：3年：
2025/11/10-2028/11/9</t>
        </is>
      </c>
      <c r="U208" s="541" t="inlineStr">
        <is>
          <t>6个月</t>
        </is>
      </c>
      <c r="V208" s="270" t="inlineStr">
        <is>
          <t>计算机科学与技术</t>
        </is>
      </c>
      <c r="W208" s="268" t="inlineStr">
        <is>
          <t>2022.7.1</t>
        </is>
      </c>
      <c r="X208" s="268" t="inlineStr">
        <is>
          <t>本科</t>
        </is>
      </c>
      <c r="Y208" s="264" t="inlineStr">
        <is>
          <t>1091089589@qq.com</t>
        </is>
      </c>
      <c r="Z208" s="264" t="inlineStr">
        <is>
          <t>成都市玉皇观街3号1栋1单元1104</t>
        </is>
      </c>
      <c r="AA208" s="532" t="inlineStr">
        <is>
          <t>上海市青浦区虬江路100号时代名苑1期3号楼2704</t>
        </is>
      </c>
      <c r="AB208" s="268" t="n">
        <v>13541137172</v>
      </c>
      <c r="AC208" s="496" t="inlineStr">
        <is>
          <t>511102199806272014</t>
        </is>
      </c>
      <c r="AD208" s="264" t="inlineStr">
        <is>
          <t>；6217001180093413899</t>
        </is>
      </c>
      <c r="AE208" s="532" t="inlineStr">
        <is>
          <t>中国建设银行浦东支行</t>
        </is>
      </c>
      <c r="AG208" s="532" t="inlineStr">
        <is>
          <t>是</t>
        </is>
      </c>
      <c r="AH208" s="267" t="inlineStr">
        <is>
          <t>第一次合同：3年：
2025/11/10-2028/11/9
2026年4月29日汪总确认沈周转长期了，合同不用发起因为本身就是长期三年合同</t>
        </is>
      </c>
      <c r="AI208" s="82">
        <f>DATEDIF(--TEXT(MID(AC208,7,8),"0-00-00"),TODAY(),"y")</f>
        <v/>
      </c>
      <c r="AJ208" s="548">
        <f>TEXT(MID(AC208,7,8),"0000-00-00")</f>
        <v/>
      </c>
      <c r="AK208" s="95">
        <f>CHOOSE(MONTH(AJ208),1,1,1,2,2,2,3,3,3,4,4,4)</f>
        <v/>
      </c>
    </row>
    <row r="209" ht="188" customFormat="1" customHeight="1" s="594">
      <c r="A209" s="341" t="n"/>
      <c r="B209" s="314" t="inlineStr">
        <is>
          <t>丁志伟
（就当没这个人）</t>
        </is>
      </c>
      <c r="C209" s="603" t="inlineStr">
        <is>
          <t>上海文石</t>
        </is>
      </c>
      <c r="D209" s="315" t="inlineStr">
        <is>
          <t>男</t>
        </is>
      </c>
      <c r="E209" s="594" t="n">
        <v>16000</v>
      </c>
      <c r="F209" s="595" t="inlineStr">
        <is>
          <t>工资：16K，签订3个月合同，不打折【基础薪资：2600，社保补贴：2200，公积金补贴：700，绩效和外派津贴各占50%（5250）】
（特殊备注：若项目短期3个月结束，有500/月补贴，项目结束发放，续签的话就没有补贴了）
到岗时间：2025年11月11日（下周二）</t>
        </is>
      </c>
      <c r="G209" s="595" t="inlineStr">
        <is>
          <t>电子签-上海文石
员工已签署闭环
材料齐全</t>
        </is>
      </c>
      <c r="H209" s="317" t="inlineStr">
        <is>
          <t>iOS开发工程师</t>
        </is>
      </c>
      <c r="I209" s="318" t="n">
        <v>45972</v>
      </c>
      <c r="J209" s="319" t="n">
        <v>45972</v>
      </c>
      <c r="K209" s="533" t="inlineStr">
        <is>
          <t>入职当天就离职</t>
        </is>
      </c>
      <c r="L209" s="596" t="inlineStr">
        <is>
          <t>入职当天就离职</t>
        </is>
      </c>
      <c r="M209" s="315" t="inlineStr">
        <is>
          <t>上海</t>
        </is>
      </c>
      <c r="N209" s="315" t="inlineStr">
        <is>
          <t>上海</t>
        </is>
      </c>
      <c r="O209" s="343" t="inlineStr">
        <is>
          <t>/</t>
        </is>
      </c>
      <c r="P209" s="343" t="inlineStr">
        <is>
          <t>16K</t>
        </is>
      </c>
      <c r="Q209" s="532" t="n">
        <v>0</v>
      </c>
      <c r="R209" s="532" t="n">
        <v>0</v>
      </c>
      <c r="S209" s="532" t="n">
        <v>0</v>
      </c>
      <c r="T209" s="321" t="inlineStr">
        <is>
          <t>第一次合同：3个月左右短期
2025/11/11-2025/2/10</t>
        </is>
      </c>
      <c r="U209" s="595" t="inlineStr">
        <is>
          <t>短期 
无试用期</t>
        </is>
      </c>
      <c r="V209" s="322" t="inlineStr">
        <is>
          <t>电机工程及其自动化</t>
        </is>
      </c>
      <c r="W209" s="317" t="n">
        <v>2016.06</v>
      </c>
      <c r="X209" s="315" t="inlineStr">
        <is>
          <t>本科</t>
        </is>
      </c>
      <c r="Y209" s="315" t="inlineStr">
        <is>
          <t>2456793882@qq.com</t>
        </is>
      </c>
      <c r="Z209" s="344" t="inlineStr">
        <is>
          <t>河南省郸城县胡集乡胡集行政村胡集村570号</t>
        </is>
      </c>
      <c r="AA209" s="344" t="inlineStr">
        <is>
          <t>上海市浦东新区康桥镇周康二村16号202</t>
        </is>
      </c>
      <c r="AB209" s="315" t="n">
        <v>18337175629</v>
      </c>
      <c r="AC209" s="500" t="inlineStr">
        <is>
          <t>412726199206297550</t>
        </is>
      </c>
      <c r="AD209" s="345" t="inlineStr">
        <is>
          <t>‘6236683810004266938</t>
        </is>
      </c>
      <c r="AE209" s="345" t="inlineStr">
        <is>
          <t>中国建设银行成都高新支行</t>
        </is>
      </c>
      <c r="AF209" s="594" t="n"/>
      <c r="AG209" s="594" t="inlineStr">
        <is>
          <t>否</t>
        </is>
      </c>
      <c r="AH209" s="321" t="inlineStr">
        <is>
          <t>第一次合同：3个月左右短期
2025/11/11-2025/2/10</t>
        </is>
      </c>
      <c r="AI209" s="82">
        <f>DATEDIF(--TEXT(MID(AC209,7,8),"0-00-00"),TODAY(),"y")</f>
        <v/>
      </c>
      <c r="AJ209" s="548">
        <f>TEXT(MID(AC209,7,8),"0000-00-00")</f>
        <v/>
      </c>
      <c r="AK209" s="95">
        <f>CHOOSE(MONTH(AJ209),1,1,1,2,2,2,3,3,3,4,4,4)</f>
        <v/>
      </c>
    </row>
    <row r="210" customFormat="1" s="532">
      <c r="A210" s="82" t="n">
        <v>112</v>
      </c>
      <c r="B210" s="276" t="inlineStr">
        <is>
          <t>彭敏</t>
        </is>
      </c>
      <c r="C210" s="532" t="inlineStr">
        <is>
          <t>上海文石</t>
        </is>
      </c>
      <c r="D210" s="265" t="inlineStr">
        <is>
          <t>男</t>
        </is>
      </c>
      <c r="E210" s="532" t="n">
        <v>15000</v>
      </c>
      <c r="F210" s="276" t="inlineStr">
        <is>
          <t>工资:15K,签订3个月合同，不打折【基础薪资:2600，社保补贴:2000，公积金补贴:700，绩效:4850，外派津贴:4850;若项目短期3个月结束，有500/月补贴，项目结束发放】</t>
        </is>
      </c>
      <c r="G210" s="541" t="inlineStr">
        <is>
          <t>电子签-上海文石
员工已签署闭环
材料齐全</t>
        </is>
      </c>
      <c r="H210" s="268" t="inlineStr">
        <is>
          <t>实车测试工程师</t>
        </is>
      </c>
      <c r="I210" s="346" t="n">
        <v>45973</v>
      </c>
      <c r="J210" s="533" t="n">
        <v>45973</v>
      </c>
      <c r="K210" s="533" t="inlineStr">
        <is>
          <t>短期3个月</t>
        </is>
      </c>
      <c r="L210" s="534" t="n">
        <v>45962</v>
      </c>
      <c r="M210" s="532" t="inlineStr">
        <is>
          <t>上海</t>
        </is>
      </c>
      <c r="N210" s="532" t="inlineStr">
        <is>
          <t>上海安亭</t>
        </is>
      </c>
      <c r="O210" s="532" t="inlineStr">
        <is>
          <t>15k</t>
        </is>
      </c>
      <c r="P210" s="532" t="inlineStr">
        <is>
          <t>15k</t>
        </is>
      </c>
      <c r="Q210" s="532" t="n">
        <v>0</v>
      </c>
      <c r="R210" s="532" t="n">
        <v>0</v>
      </c>
      <c r="S210" s="532" t="n">
        <v>0</v>
      </c>
      <c r="T210" s="347" t="inlineStr">
        <is>
          <t>第一次合同：3个月左右短期
2025/11/12-2025/2/11</t>
        </is>
      </c>
      <c r="U210" s="541" t="inlineStr">
        <is>
          <t>短期 
无试用期</t>
        </is>
      </c>
      <c r="V210" s="348" t="inlineStr">
        <is>
          <t>房地产经营与管理</t>
        </is>
      </c>
      <c r="W210" s="272" t="n">
        <v>2020.7</v>
      </c>
      <c r="X210" s="272" t="inlineStr">
        <is>
          <t>大专</t>
        </is>
      </c>
      <c r="Y210" s="458" t="inlineStr">
        <is>
          <t>2216296349@qq.com</t>
        </is>
      </c>
      <c r="Z210" s="264" t="inlineStr">
        <is>
          <t>安徽省安庆市宿松县程岭乡彭桥村中屋组4号</t>
        </is>
      </c>
      <c r="AA210" s="532" t="inlineStr">
        <is>
          <t>上海市嘉定区鼎固华庭2期13号楼1901</t>
        </is>
      </c>
      <c r="AB210" s="272" t="n">
        <v>18856092473</v>
      </c>
      <c r="AC210" s="502" t="inlineStr">
        <is>
          <t>340826199810133611</t>
        </is>
      </c>
      <c r="AD210" s="265" t="inlineStr">
        <is>
          <t>’6217001590029295667</t>
        </is>
      </c>
      <c r="AE210" s="532" t="inlineStr">
        <is>
          <t>中国建设银行宁波梅墟支行</t>
        </is>
      </c>
      <c r="AF210" s="532" t="n"/>
      <c r="AG210" s="532" t="inlineStr">
        <is>
          <t>是</t>
        </is>
      </c>
      <c r="AH210" s="347" t="inlineStr">
        <is>
          <t>第一次合同：3个月左右短期 2025/11/12-2026/2/11
第二次合同：3年：上海文石2026/2/12-2029/2/11
（2026.1.30日已得知彭敏转长期已续签3年）20260130林娜账单中转长期</t>
        </is>
      </c>
      <c r="AI210" s="82">
        <f>DATEDIF(--TEXT(MID(AC210,7,8),"0-00-00"),TODAY(),"y")</f>
        <v/>
      </c>
      <c r="AJ210" s="548">
        <f>TEXT(MID(AC210,7,8),"0000-00-00")</f>
        <v/>
      </c>
      <c r="AK210" s="95">
        <f>CHOOSE(MONTH(AJ210),1,1,1,2,2,2,3,3,3,4,4,4)</f>
        <v/>
      </c>
    </row>
    <row r="211" s="558">
      <c r="A211" s="82" t="n">
        <v>113</v>
      </c>
      <c r="B211" s="264" t="inlineStr">
        <is>
          <t>李文超</t>
        </is>
      </c>
      <c r="C211" s="532" t="inlineStr">
        <is>
          <t>上海文石</t>
        </is>
      </c>
      <c r="D211" s="532" t="inlineStr">
        <is>
          <t>男</t>
        </is>
      </c>
      <c r="E211" s="532" t="n">
        <v>16000</v>
      </c>
      <c r="F211" s="541" t="inlineStr">
        <is>
          <t>工资:16K,签订短期3个月合同，不打折【基础薪资:2600，社保补贴:2400，公积金补贴:700，绩效:5150，外派津贴:5150;已前置说明假设项目短期3个月结束没有相关赔偿】</t>
        </is>
      </c>
      <c r="G211" s="541" t="inlineStr">
        <is>
          <t>电子签-上海文石
员工已签署闭环
材料齐全</t>
        </is>
      </c>
      <c r="H211" s="268" t="inlineStr">
        <is>
          <t>实车测试工
程师</t>
        </is>
      </c>
      <c r="I211" s="346" t="n">
        <v>45978</v>
      </c>
      <c r="J211" s="533" t="inlineStr">
        <is>
          <t>/</t>
        </is>
      </c>
      <c r="K211" s="533" t="inlineStr">
        <is>
          <t>短期3个月</t>
        </is>
      </c>
      <c r="L211" s="534" t="n">
        <v>45992</v>
      </c>
      <c r="M211" s="532" t="inlineStr">
        <is>
          <t>上海</t>
        </is>
      </c>
      <c r="N211" s="532" t="inlineStr">
        <is>
          <t>上海</t>
        </is>
      </c>
      <c r="O211" s="532" t="inlineStr">
        <is>
          <t>16k</t>
        </is>
      </c>
      <c r="P211" s="532" t="inlineStr">
        <is>
          <t>16k</t>
        </is>
      </c>
      <c r="Q211" s="532" t="n">
        <v>0</v>
      </c>
      <c r="R211" s="532" t="n">
        <v>0</v>
      </c>
      <c r="S211" s="532" t="n">
        <v>0</v>
      </c>
      <c r="T211" s="347" t="inlineStr">
        <is>
          <t>第一次合同：3个月左右短期
2025/11/17-2025/2/16</t>
        </is>
      </c>
      <c r="U211" s="541" t="inlineStr">
        <is>
          <t>短期 
无试用期</t>
        </is>
      </c>
      <c r="V211" s="273" t="inlineStr">
        <is>
          <t>建筑环境与能源应用工程</t>
        </is>
      </c>
      <c r="W211" s="339" t="n">
        <v>2025.6</v>
      </c>
      <c r="X211" s="264" t="inlineStr">
        <is>
          <t>本科</t>
        </is>
      </c>
      <c r="Y211" s="349" t="inlineStr">
        <is>
          <t>2502426072@qq.com</t>
        </is>
      </c>
      <c r="Z211" s="264" t="inlineStr">
        <is>
          <t>湖南省岳阳市湘阴县南湖镇镇 长福村十组</t>
        </is>
      </c>
      <c r="AA211" s="532" t="inlineStr">
        <is>
          <t>上海市嘉定区曹安公路4671号1幢1楼</t>
        </is>
      </c>
      <c r="AB211" s="273" t="n">
        <v>15773358993</v>
      </c>
      <c r="AC211" s="496" t="inlineStr">
        <is>
          <t>430624199508199335</t>
        </is>
      </c>
      <c r="AD211" s="273" t="inlineStr">
        <is>
          <t>‘6217 0028 7008 4480 209</t>
        </is>
      </c>
      <c r="AE211" s="350" t="inlineStr">
        <is>
          <t xml:space="preserve">中国建设银行股份
有限公司武汉任家
路支行 </t>
        </is>
      </c>
      <c r="AG211" s="532" t="inlineStr">
        <is>
          <t>是</t>
        </is>
      </c>
      <c r="AH211" s="347" t="inlineStr">
        <is>
          <t>第一次合同：3个月左右短期 2025/11/17-2026/2/16
第二次合同：3年：上海文石2026/2/16-2029/2/15
（2026.1.30日已得知李文超转长期已续签3年）20260130林娜账单中转长期</t>
        </is>
      </c>
      <c r="AI211" s="82">
        <f>DATEDIF(--TEXT(MID(AC211,7,8),"0-00-00"),TODAY(),"y")</f>
        <v/>
      </c>
      <c r="AJ211" s="548">
        <f>TEXT(MID(AC211,7,8),"0000-00-00")</f>
        <v/>
      </c>
      <c r="AK211" s="95">
        <f>CHOOSE(MONTH(AJ211),1,1,1,2,2,2,3,3,3,4,4,4)</f>
        <v/>
      </c>
    </row>
    <row r="212" s="558">
      <c r="A212" s="82" t="n">
        <v>114</v>
      </c>
      <c r="B212" s="264" t="inlineStr">
        <is>
          <t>张扬</t>
        </is>
      </c>
      <c r="C212" s="532" t="inlineStr">
        <is>
          <t>上海文石</t>
        </is>
      </c>
      <c r="D212" s="532" t="inlineStr">
        <is>
          <t>男</t>
        </is>
      </c>
      <c r="E212" s="532" t="n">
        <v>15000</v>
      </c>
      <c r="F212" s="541" t="inlineStr">
        <is>
          <t>工资：15K，签订3年合同，试用期6个月，前3个月打八折，实际为短期半年，员工不知情【基础薪资：2600，社保补贴：2000，公积金补贴：700，绩效和外派津贴各占50%（4850）】
到岗时间：2025年11月17日</t>
        </is>
      </c>
      <c r="G212" s="541" t="inlineStr">
        <is>
          <t>电子签-上海文石
员工已签署闭环
材料齐全</t>
        </is>
      </c>
      <c r="H212" s="532" t="inlineStr">
        <is>
          <t>EOL产线测试工程师</t>
        </is>
      </c>
      <c r="I212" s="346" t="n">
        <v>45978</v>
      </c>
      <c r="J212" s="533" t="inlineStr">
        <is>
          <t>/</t>
        </is>
      </c>
      <c r="K212" s="533" t="n">
        <v>46158</v>
      </c>
      <c r="L212" s="534" t="n">
        <v>45992</v>
      </c>
      <c r="M212" s="264" t="inlineStr">
        <is>
          <t>上海</t>
        </is>
      </c>
      <c r="N212" s="264" t="inlineStr">
        <is>
          <t>上海</t>
        </is>
      </c>
      <c r="O212" s="532" t="n">
        <v>12000</v>
      </c>
      <c r="P212" s="532" t="n">
        <v>15000</v>
      </c>
      <c r="Q212" s="532" t="n">
        <v>0</v>
      </c>
      <c r="R212" s="532" t="n">
        <v>0</v>
      </c>
      <c r="S212" s="532" t="n">
        <v>0</v>
      </c>
      <c r="T212" s="347" t="inlineStr">
        <is>
          <t>第一次合同：3年
2025/11/17-2028/11/16</t>
        </is>
      </c>
      <c r="U212" s="541" t="inlineStr">
        <is>
          <t>6个月</t>
        </is>
      </c>
      <c r="V212" s="270" t="inlineStr">
        <is>
          <t>国际商务</t>
        </is>
      </c>
      <c r="W212" s="268" t="n">
        <v>2024.07</v>
      </c>
      <c r="X212" s="264" t="inlineStr">
        <is>
          <t>自考大专</t>
        </is>
      </c>
      <c r="Y212" s="458" t="inlineStr">
        <is>
          <t>2354864803@qq.com</t>
        </is>
      </c>
      <c r="Z212" s="264" t="inlineStr">
        <is>
          <t>河南省虞城县刘集乡蔡老家村8</t>
        </is>
      </c>
      <c r="AA212" s="532" t="inlineStr">
        <is>
          <t>上海浦东新区曹路镇迅建村徐家宅37号</t>
        </is>
      </c>
      <c r="AB212" s="264" t="n">
        <v>15900418072</v>
      </c>
      <c r="AC212" s="496" t="inlineStr">
        <is>
          <t>411425199203197219</t>
        </is>
      </c>
      <c r="AD212" s="532" t="inlineStr">
        <is>
          <t>’6215340301711968841</t>
        </is>
      </c>
      <c r="AE212" s="532" t="inlineStr">
        <is>
          <t>中国建设银行曹路支行</t>
        </is>
      </c>
      <c r="AG212" s="532" t="inlineStr">
        <is>
          <t>是</t>
        </is>
      </c>
      <c r="AH212" s="267" t="inlineStr">
        <is>
          <t>第一次合同：3年：
2025/11/17-2028/11/16</t>
        </is>
      </c>
      <c r="AI212" s="82">
        <f>DATEDIF(--TEXT(MID(AC212,7,8),"0-00-00"),TODAY(),"y")</f>
        <v/>
      </c>
      <c r="AJ212" s="548">
        <f>TEXT(MID(AC212,7,8),"0000-00-00")</f>
        <v/>
      </c>
      <c r="AK212" s="95">
        <f>CHOOSE(MONTH(AJ212),1,1,1,2,2,2,3,3,3,4,4,4)</f>
        <v/>
      </c>
    </row>
    <row r="213" s="558">
      <c r="A213" s="82" t="n">
        <v>115</v>
      </c>
      <c r="B213" s="264" t="inlineStr">
        <is>
          <t>向安彬</t>
        </is>
      </c>
      <c r="C213" s="541" t="inlineStr">
        <is>
          <t>今才</t>
        </is>
      </c>
      <c r="D213" s="532" t="inlineStr">
        <is>
          <t>男</t>
        </is>
      </c>
      <c r="E213" s="532" t="n">
        <v>17000</v>
      </c>
      <c r="F213" s="541" t="inlineStr">
        <is>
          <t>工资:17K,签订6个月合同，试用期1个月打8折(基本工资:2500，绩效外派工资:5050，津贴:5050，社保补贴:3600，公积金补贴800;已前置说明假设项目短期6个月结束没有
相关赔偿)</t>
        </is>
      </c>
      <c r="G213" s="541" t="inlineStr">
        <is>
          <t>电子签-上海文石（应该签南京文石的）
BASE芜湖,缴纳芜湖的五险一金。
员工已签署闭环
材料齐全</t>
        </is>
      </c>
      <c r="H213" s="532" t="inlineStr">
        <is>
          <t>实车测试工程师</t>
        </is>
      </c>
      <c r="I213" s="346" t="n">
        <v>45980</v>
      </c>
      <c r="J213" s="533" t="inlineStr">
        <is>
          <t>/</t>
        </is>
      </c>
      <c r="K213" s="533" t="n">
        <v>46009</v>
      </c>
      <c r="L213" s="534" t="n">
        <v>45992</v>
      </c>
      <c r="M213" s="264" t="inlineStr">
        <is>
          <t>芜湖</t>
        </is>
      </c>
      <c r="N213" s="264" t="inlineStr">
        <is>
          <t>芜湖</t>
        </is>
      </c>
      <c r="O213" s="532" t="n">
        <v>13600</v>
      </c>
      <c r="P213" s="532" t="n">
        <v>17000</v>
      </c>
      <c r="Q213" s="532" t="n">
        <v>0</v>
      </c>
      <c r="R213" s="532" t="n">
        <v>0</v>
      </c>
      <c r="S213" s="532" t="n">
        <v>0</v>
      </c>
      <c r="T213" s="347" t="inlineStr">
        <is>
          <t>第一次合同：6个月左右短期
2025/11/19-2026/5/18</t>
        </is>
      </c>
      <c r="U213" s="541" t="inlineStr">
        <is>
          <t>1个月</t>
        </is>
      </c>
      <c r="V213" s="270" t="inlineStr">
        <is>
          <t>建筑工程技术</t>
        </is>
      </c>
      <c r="W213" s="340" t="n">
        <v>41426</v>
      </c>
      <c r="X213" s="264" t="inlineStr">
        <is>
          <t xml:space="preserve"> 大专</t>
        </is>
      </c>
      <c r="Y213" s="458" t="inlineStr">
        <is>
          <t>645029255@qq.com</t>
        </is>
      </c>
      <c r="Z213" s="264" t="inlineStr">
        <is>
          <t>四川省泸州市江阳区方山镇许湾村5组40号</t>
        </is>
      </c>
      <c r="AA213" s="532" t="inlineStr">
        <is>
          <t>安徽省芜湖市鸠江区湾里街道银湖社区陈桥新村100号</t>
        </is>
      </c>
      <c r="AB213" s="264" t="n">
        <v>18715856067</v>
      </c>
      <c r="AC213" s="496" t="inlineStr">
        <is>
          <t>510502199206216810</t>
        </is>
      </c>
      <c r="AD213" s="532" t="inlineStr">
        <is>
          <t>’ 6217003590001692061</t>
        </is>
      </c>
      <c r="AE213" s="532" t="inlineStr">
        <is>
          <t>中国建设银行泸州龙马潭支行</t>
        </is>
      </c>
      <c r="AG213" s="532" t="inlineStr">
        <is>
          <t>是</t>
        </is>
      </c>
      <c r="AH213" s="267" t="inlineStr">
        <is>
          <t>第一次合同：6个月左右短期
2025/11/19-2026/5/18
20260429汪总确认向安彬转长期了，需要罗发起下合同续签3年
第二次合同：2026/5/19-2029/5/18三年合同已签署</t>
        </is>
      </c>
      <c r="AI213" s="82">
        <f>DATEDIF(--TEXT(MID(AC213,7,8),"0-00-00"),TODAY(),"y")</f>
        <v/>
      </c>
      <c r="AJ213" s="548">
        <f>TEXT(MID(AC213,7,8),"0000-00-00")</f>
        <v/>
      </c>
      <c r="AK213" s="95">
        <f>CHOOSE(MONTH(AJ213),1,1,1,2,2,2,3,3,3,4,4,4)</f>
        <v/>
      </c>
    </row>
    <row r="214" ht="132" customFormat="1" customHeight="1" s="604">
      <c r="A214" s="82" t="n">
        <v>116</v>
      </c>
      <c r="B214" s="351" t="inlineStr">
        <is>
          <t>孔思雯-自然月结算
（其他欣琰妙行项目）
2025/12/25主动离职</t>
        </is>
      </c>
      <c r="C214" s="604" t="inlineStr">
        <is>
          <t>北京文石</t>
        </is>
      </c>
      <c r="D214" s="604" t="inlineStr">
        <is>
          <t>女</t>
        </is>
      </c>
      <c r="E214" s="604" t="n">
        <v>6500</v>
      </c>
      <c r="F214" s="605" t="inlineStr">
        <is>
          <t>签订三个月兼职劳务合同，工资6.5k
人选知情短期劳务；
无试用期，不打折
自然月考勤</t>
        </is>
      </c>
      <c r="G214" s="605" t="inlineStr">
        <is>
          <t>电子签-北京文石劳务合同
员工已签署闭环
材料齐全</t>
        </is>
      </c>
      <c r="H214" s="604" t="inlineStr">
        <is>
          <t>行政文员</t>
        </is>
      </c>
      <c r="I214" s="353" t="n">
        <v>45981</v>
      </c>
      <c r="J214" s="354" t="inlineStr">
        <is>
          <t>2025/12/25主动离职</t>
        </is>
      </c>
      <c r="K214" s="533" t="inlineStr">
        <is>
          <t>/</t>
        </is>
      </c>
      <c r="L214" s="606" t="inlineStr">
        <is>
          <t>劳务不缴纳</t>
        </is>
      </c>
      <c r="M214" s="356" t="inlineStr">
        <is>
          <t>北京</t>
        </is>
      </c>
      <c r="N214" s="356" t="inlineStr">
        <is>
          <t>北京</t>
        </is>
      </c>
      <c r="O214" s="607" t="n">
        <v>6500</v>
      </c>
      <c r="P214" s="607" t="n">
        <v>6500</v>
      </c>
      <c r="Q214" s="532" t="n">
        <v>0</v>
      </c>
      <c r="R214" s="532" t="n">
        <v>0</v>
      </c>
      <c r="S214" s="532" t="n">
        <v>0</v>
      </c>
      <c r="T214" s="358" t="inlineStr">
        <is>
          <t>第一次合同：短期3个月劳务合同
2025年11月20日-短期随时结束发起兼职结束流程</t>
        </is>
      </c>
      <c r="U214" s="605" t="inlineStr">
        <is>
          <t>/</t>
        </is>
      </c>
      <c r="V214" s="359" t="inlineStr">
        <is>
          <t>电子商务</t>
        </is>
      </c>
      <c r="W214" s="360" t="n">
        <v>45461</v>
      </c>
      <c r="X214" s="356" t="inlineStr">
        <is>
          <t xml:space="preserve"> 本科</t>
        </is>
      </c>
      <c r="Y214" s="361" t="inlineStr">
        <is>
          <t>kSW0211@163.com</t>
        </is>
      </c>
      <c r="Z214" s="356" t="inlineStr">
        <is>
          <t>北京市通州区于家务乡南刘庄村34号</t>
        </is>
      </c>
      <c r="AA214" s="604" t="inlineStr">
        <is>
          <t>北京市通州区于家务乡南刘庄村34号</t>
        </is>
      </c>
      <c r="AB214" s="356" t="n">
        <v>15010813530</v>
      </c>
      <c r="AC214" s="503" t="inlineStr">
        <is>
          <t>110112200201018462</t>
        </is>
      </c>
      <c r="AD214" s="608" t="inlineStr">
        <is>
          <t>6217000010206831508</t>
        </is>
      </c>
      <c r="AE214" s="604" t="inlineStr">
        <is>
          <t>中国建设银行北京经海路支行</t>
        </is>
      </c>
      <c r="AF214" s="604" t="n"/>
      <c r="AG214" s="604" t="inlineStr">
        <is>
          <t>否</t>
        </is>
      </c>
      <c r="AH214" s="358" t="inlineStr">
        <is>
          <t>第一次合同：短期3个月劳务合同
2025年11月20日-短期随时结束发起兼职结束流程</t>
        </is>
      </c>
      <c r="AI214" s="82">
        <f>DATEDIF(--TEXT(MID(AC214,7,8),"0-00-00"),TODAY(),"y")</f>
        <v/>
      </c>
      <c r="AJ214" s="548">
        <f>TEXT(MID(AC214,7,8),"0000-00-00")</f>
        <v/>
      </c>
      <c r="AK214" s="95">
        <f>CHOOSE(MONTH(AJ214),1,1,1,2,2,2,3,3,3,4,4,4)</f>
        <v/>
      </c>
    </row>
    <row r="215" customFormat="1" s="609">
      <c r="A215" s="363" t="n">
        <v>117</v>
      </c>
      <c r="B215" s="364" t="inlineStr">
        <is>
          <t>宋世杰
2026年3月17日lastday</t>
        </is>
      </c>
      <c r="C215" s="609" t="inlineStr">
        <is>
          <t>上海文石</t>
        </is>
      </c>
      <c r="D215" s="609" t="inlineStr">
        <is>
          <t>男</t>
        </is>
      </c>
      <c r="E215" s="609" t="n">
        <v>18500</v>
      </c>
      <c r="F215" s="610" t="inlineStr">
        <is>
          <t>工资:18.5K,签订3年合同，试用期6个月，前3个月8折（注意：需求表格中备注为半年期，人选不知情；基础薪资：2420，社保补贴：3100，公积金补贴：800，绩效：6090，外派津贴：6090）
到岗时间：2025年11月24日</t>
        </is>
      </c>
      <c r="G215" s="610" t="inlineStr">
        <is>
          <t>电子签-上海文石
员工已签署闭环
材料齐全</t>
        </is>
      </c>
      <c r="H215" s="609" t="inlineStr">
        <is>
          <t>自动驾驶测试开发工程师（CICD方向</t>
        </is>
      </c>
      <c r="I215" s="366" t="n">
        <v>45985</v>
      </c>
      <c r="J215" s="572" t="inlineStr">
        <is>
          <t>2026年3月17日lastday
因能力差被辞退，申请的个人原因离职，文石没赔偿</t>
        </is>
      </c>
      <c r="K215" s="611" t="inlineStr">
        <is>
          <t>/</t>
        </is>
      </c>
      <c r="L215" s="612" t="n">
        <v>45992</v>
      </c>
      <c r="M215" s="369" t="inlineStr">
        <is>
          <t>上海</t>
        </is>
      </c>
      <c r="N215" s="369" t="inlineStr">
        <is>
          <t>上海</t>
        </is>
      </c>
      <c r="O215" s="609" t="n">
        <v>14800</v>
      </c>
      <c r="P215" s="609" t="n">
        <v>18500</v>
      </c>
      <c r="Q215" s="609" t="n">
        <v>0</v>
      </c>
      <c r="R215" s="609" t="n">
        <v>0</v>
      </c>
      <c r="S215" s="609" t="n">
        <v>0</v>
      </c>
      <c r="T215" s="370" t="inlineStr">
        <is>
          <t>第一次合同：3年
2025/11/24-2028/11/23</t>
        </is>
      </c>
      <c r="U215" s="610" t="inlineStr">
        <is>
          <t>6个月</t>
        </is>
      </c>
      <c r="V215" s="371" t="inlineStr">
        <is>
          <t>工程管理</t>
        </is>
      </c>
      <c r="W215" s="372" t="n">
        <v>2023.06</v>
      </c>
      <c r="X215" s="369" t="inlineStr">
        <is>
          <t>本科</t>
        </is>
      </c>
      <c r="Y215" s="373" t="inlineStr">
        <is>
          <t>2362400293@qq.com</t>
        </is>
      </c>
      <c r="Z215" s="369" t="inlineStr">
        <is>
          <t>河北省邢台市南和区河郭乡南豆村</t>
        </is>
      </c>
      <c r="AA215" s="609" t="inlineStr">
        <is>
          <t>上海市嘉定区安亭镇安驰路509弄1号527室</t>
        </is>
      </c>
      <c r="AB215" s="369" t="n">
        <v>18738191267</v>
      </c>
      <c r="AC215" s="505" t="inlineStr">
        <is>
          <t>130527199304120851</t>
        </is>
      </c>
      <c r="AD215" s="613" t="inlineStr">
        <is>
          <t>6210810590001550648</t>
        </is>
      </c>
      <c r="AE215" s="609" t="inlineStr">
        <is>
          <t>中国建设银行新宾支行</t>
        </is>
      </c>
      <c r="AF215" s="609" t="n"/>
      <c r="AG215" s="609" t="inlineStr">
        <is>
          <t>是</t>
        </is>
      </c>
      <c r="AH215" s="370" t="inlineStr">
        <is>
          <t>第一次合同：3年
2025/11/24-2028/11/23
实际要被释放</t>
        </is>
      </c>
      <c r="AI215" s="363">
        <f>DATEDIF(--TEXT(MID(AC215,7,8),"0-00-00"),TODAY(),"y")</f>
        <v/>
      </c>
      <c r="AJ215" s="614">
        <f>TEXT(MID(AC215,7,8),"0000-00-00")</f>
        <v/>
      </c>
      <c r="AK215" s="375">
        <f>CHOOSE(MONTH(AJ215),1,1,1,2,2,2,3,3,3,4,4,4)</f>
        <v/>
      </c>
    </row>
    <row r="216" s="558">
      <c r="A216" s="82" t="n">
        <v>118</v>
      </c>
      <c r="B216" s="532" t="inlineStr">
        <is>
          <t>唐昊麒</t>
        </is>
      </c>
      <c r="C216" s="532" t="inlineStr">
        <is>
          <t>上海文石</t>
        </is>
      </c>
      <c r="D216" s="532" t="inlineStr">
        <is>
          <t>男</t>
        </is>
      </c>
      <c r="E216" s="532" t="n">
        <v>15000</v>
      </c>
      <c r="F216" s="541" t="inlineStr">
        <is>
          <t>工资:15K,签订3个月短期合同，不打折【基础薪资:2600，社保补贴:2000，公积金补贴:700，绩效:4850，外派津贴:4850;已前置说明项目短期3个月结束没有赔偿】</t>
        </is>
      </c>
      <c r="G216" s="541" t="inlineStr">
        <is>
          <t>电子签-上海文石
员工已签署闭环
材料齐全
26年1月开始缴纳五险一金即可
12月上家已缴纳</t>
        </is>
      </c>
      <c r="H216" s="532" t="inlineStr">
        <is>
          <t xml:space="preserve">实车测试工程师  </t>
        </is>
      </c>
      <c r="I216" s="346" t="n">
        <v>45985</v>
      </c>
      <c r="J216" s="533" t="inlineStr">
        <is>
          <t>/</t>
        </is>
      </c>
      <c r="K216" s="533" t="inlineStr">
        <is>
          <t>/</t>
        </is>
      </c>
      <c r="L216" s="534" t="n">
        <v>45992</v>
      </c>
      <c r="M216" s="264" t="inlineStr">
        <is>
          <t>上海</t>
        </is>
      </c>
      <c r="N216" s="264" t="inlineStr">
        <is>
          <t>上海</t>
        </is>
      </c>
      <c r="O216" s="532" t="n">
        <v>15000</v>
      </c>
      <c r="P216" s="532" t="n">
        <v>15000</v>
      </c>
      <c r="Q216" s="532" t="n">
        <v>0</v>
      </c>
      <c r="R216" s="532" t="n">
        <v>0</v>
      </c>
      <c r="S216" s="532" t="n">
        <v>0</v>
      </c>
      <c r="T216" s="347" t="inlineStr">
        <is>
          <t>第一次合同：3个月短期
2025/11/24-2026/2/23</t>
        </is>
      </c>
      <c r="U216" s="541" t="inlineStr">
        <is>
          <t>短期 
无试用期</t>
        </is>
      </c>
      <c r="V216" s="376" t="inlineStr">
        <is>
          <t>汽车工程</t>
        </is>
      </c>
      <c r="W216" s="377" t="inlineStr">
        <is>
          <t>2018.7.10</t>
        </is>
      </c>
      <c r="X216" s="532" t="inlineStr">
        <is>
          <t>大专</t>
        </is>
      </c>
      <c r="Y216" s="378" t="inlineStr">
        <is>
          <t>464578458@qq.com</t>
        </is>
      </c>
      <c r="Z216" s="264" t="inlineStr">
        <is>
          <t>江苏省无锡市锡山区鹅湖镇蔡湾村里浜23号</t>
        </is>
      </c>
      <c r="AA216" s="532" t="inlineStr">
        <is>
          <t>上海市嘉定区杭桂路1155弄205号101室</t>
        </is>
      </c>
      <c r="AB216" s="264" t="n">
        <v>18206179842</v>
      </c>
      <c r="AC216" s="507" t="inlineStr">
        <is>
          <t>330183199709230035</t>
        </is>
      </c>
      <c r="AD216" s="532" t="inlineStr">
        <is>
          <t>‘6217001180094249821</t>
        </is>
      </c>
      <c r="AE216" s="532" t="inlineStr">
        <is>
          <t>中国建设银行上海彩虹湾支行</t>
        </is>
      </c>
      <c r="AG216" s="532" t="inlineStr">
        <is>
          <t>是</t>
        </is>
      </c>
      <c r="AH216" s="347" t="inlineStr">
        <is>
          <t>第一次合同：3个月短期2025/11/24-2026/2/23
第二次合同：3年：上海文石2026/2/24-2029/2/23
（2026.1.30日已得知唐昊麒转长期已续签3年）20260130林娜账单中转长期了</t>
        </is>
      </c>
      <c r="AI216" s="82">
        <f>DATEDIF(--TEXT(MID(AC216,7,8),"0-00-00"),TODAY(),"y")</f>
        <v/>
      </c>
      <c r="AJ216" s="548">
        <f>TEXT(MID(AC216,7,8),"0000-00-00")</f>
        <v/>
      </c>
      <c r="AK216" s="95">
        <f>CHOOSE(MONTH(AJ216),1,1,1,2,2,2,3,3,3,4,4,4)</f>
        <v/>
      </c>
    </row>
    <row r="217" ht="130" customHeight="1" s="558">
      <c r="A217" s="82" t="n">
        <v>119</v>
      </c>
      <c r="B217" s="266" t="inlineStr">
        <is>
          <t>王柳生
（梦珂的红西瓜项目-脱敏，不是欣琰的）</t>
        </is>
      </c>
      <c r="C217" s="532" t="inlineStr">
        <is>
          <t>上海文石</t>
        </is>
      </c>
      <c r="D217" s="264" t="inlineStr">
        <is>
          <t>男</t>
        </is>
      </c>
      <c r="E217" s="532">
        <f>15700+2150</f>
        <v/>
      </c>
      <c r="F217" s="266" t="inlineStr">
        <is>
          <t>兼职2周合同+正常签订3年劳动合同（12月份五险一金按照签订劳动合同时间为准参考是否正常缴纳）； 
签订3年劳动合同前3个月工资：offer薪资15700*80%=12560+社保补贴：2150
【社保补贴发放从12月份开始，五险一金缴费基数（社保基数：7460，公积金基数：转正后的offer薪资15700 *5%）】
到岗时间：2025.11月26日</t>
        </is>
      </c>
      <c r="G217" s="379" t="inlineStr">
        <is>
          <t>电子签-上海文石劳务和劳动合同都签署完毕。
员工已签署闭环
材料齐全
王柳生拿到离职证明后签正式的劳动合同，上家单位离职满3个月后可切回创达工作</t>
        </is>
      </c>
      <c r="H217" s="264" t="inlineStr">
        <is>
          <t>自动化测试工程师</t>
        </is>
      </c>
      <c r="I217" s="346" t="n">
        <v>45987</v>
      </c>
      <c r="J217" s="533" t="inlineStr">
        <is>
          <t>/</t>
        </is>
      </c>
      <c r="K217" s="533" t="inlineStr">
        <is>
          <t>/</t>
        </is>
      </c>
      <c r="L217" s="534" t="n">
        <v>45992</v>
      </c>
      <c r="M217" s="264" t="inlineStr">
        <is>
          <t>上海</t>
        </is>
      </c>
      <c r="N217" s="264" t="inlineStr">
        <is>
          <t>上海</t>
        </is>
      </c>
      <c r="O217" s="532">
        <f>12560+2150</f>
        <v/>
      </c>
      <c r="P217" s="532">
        <f>15700+2150</f>
        <v/>
      </c>
      <c r="Q217" s="532" t="n">
        <v>0</v>
      </c>
      <c r="R217" s="532" t="n">
        <v>0</v>
      </c>
      <c r="S217" s="532" t="n">
        <v>0</v>
      </c>
      <c r="T217" s="347" t="inlineStr">
        <is>
          <t>第一次合同：2周兼职合同
2025/11/26-2025/12/10
第二次合同：3年劳动合同
2025/12/10-2028/12/9</t>
        </is>
      </c>
      <c r="U217" s="532" t="inlineStr">
        <is>
          <t>6个月</t>
        </is>
      </c>
      <c r="V217" s="270" t="inlineStr">
        <is>
          <t>电于与通信工程</t>
        </is>
      </c>
      <c r="W217" s="268" t="n">
        <v>2022.01</v>
      </c>
      <c r="X217" s="264" t="inlineStr">
        <is>
          <t>硕士</t>
        </is>
      </c>
      <c r="Y217" s="458" t="inlineStr">
        <is>
          <t>wangliu_sheng@163.com</t>
        </is>
      </c>
      <c r="Z217" s="264" t="inlineStr">
        <is>
          <t>安徽省庐江县龙桥镇邢湾村民组</t>
        </is>
      </c>
      <c r="AA217" s="532" t="inlineStr">
        <is>
          <t>上海市浦东新区合庆镇益民村曹家宅10号</t>
        </is>
      </c>
      <c r="AB217" s="264" t="n">
        <v>19829083744</v>
      </c>
      <c r="AC217" s="496" t="inlineStr">
        <is>
          <t>342622198808085674</t>
        </is>
      </c>
      <c r="AD217" s="381" t="inlineStr">
        <is>
          <t>；6217004220055743185</t>
        </is>
      </c>
      <c r="AE217" s="532" t="inlineStr">
        <is>
          <t>中国建设银行西安长安区智慧城支行</t>
        </is>
      </c>
      <c r="AG217" s="532" t="inlineStr">
        <is>
          <t>是</t>
        </is>
      </c>
      <c r="AH217" s="347" t="inlineStr">
        <is>
          <t>第一次合同：2周兼职合同
2025/11/26-2025/12/1
第二次合同：3年劳动合同
2025/12/2-2028/12/1</t>
        </is>
      </c>
      <c r="AI217" s="82">
        <f>DATEDIF(--TEXT(MID(AC217,7,8),"0-00-00"),TODAY(),"y")</f>
        <v/>
      </c>
      <c r="AJ217" s="548">
        <f>TEXT(MID(AC217,7,8),"0000-00-00")</f>
        <v/>
      </c>
      <c r="AK217" s="95">
        <f>CHOOSE(MONTH(AJ217),1,1,1,2,2,2,3,3,3,4,4,4)</f>
        <v/>
      </c>
    </row>
    <row r="218" customFormat="1" s="609">
      <c r="A218" s="363" t="n">
        <v>120</v>
      </c>
      <c r="B218" s="382" t="inlineStr">
        <is>
          <t>祝燕兵
2026.3.3lastday</t>
        </is>
      </c>
      <c r="C218" s="609" t="inlineStr">
        <is>
          <t>南京文石</t>
        </is>
      </c>
      <c r="D218" s="383" t="inlineStr">
        <is>
          <t>男</t>
        </is>
      </c>
      <c r="E218" s="609" t="n">
        <v>13000</v>
      </c>
      <c r="F218" s="364" t="inlineStr">
        <is>
          <t>13K，签订三个月短期合同，不打折（基础薪资：2500保补贴：2000公积金补贴：600绩效：3950外派津贴：3950）</t>
        </is>
      </c>
      <c r="G218" s="384" t="inlineStr">
        <is>
          <t>电子签-南京文石
员工已签署闭环
材料齐全</t>
        </is>
      </c>
      <c r="H218" s="383" t="inlineStr">
        <is>
          <t>数据测试工程师</t>
        </is>
      </c>
      <c r="I218" s="366" t="n">
        <v>45987</v>
      </c>
      <c r="J218" s="572" t="inlineStr">
        <is>
          <t>2026.3.3lastday项目自动结束和平离职。
离职交接已完成~
1、4月5日结算（2月25日-3月3日的薪资）+1500元短期项目补贴
2、期间均是正常出勤，无剩余调休数据
3、无需要报销的相关费用</t>
        </is>
      </c>
      <c r="K218" s="611" t="inlineStr">
        <is>
          <t>/</t>
        </is>
      </c>
      <c r="L218" s="612" t="n">
        <v>45992</v>
      </c>
      <c r="M218" s="383" t="inlineStr">
        <is>
          <t>南京</t>
        </is>
      </c>
      <c r="N218" s="383" t="inlineStr">
        <is>
          <t>南京</t>
        </is>
      </c>
      <c r="O218" s="609" t="n">
        <v>13000</v>
      </c>
      <c r="P218" s="609" t="n">
        <v>13000</v>
      </c>
      <c r="Q218" s="609" t="n">
        <v>0</v>
      </c>
      <c r="R218" s="609" t="n">
        <v>0</v>
      </c>
      <c r="S218" s="609" t="n">
        <v>0</v>
      </c>
      <c r="T218" s="370" t="inlineStr">
        <is>
          <t>第一次合同：3个月短期
2025/11/26-2026/2/25</t>
        </is>
      </c>
      <c r="U218" s="385" t="inlineStr">
        <is>
          <t>短期 
无试用期</t>
        </is>
      </c>
      <c r="V218" s="386" t="inlineStr">
        <is>
          <t>汽车检测与维修</t>
        </is>
      </c>
      <c r="W218" s="387" t="n">
        <v>2018.6</v>
      </c>
      <c r="X218" s="383" t="inlineStr">
        <is>
          <t>专科</t>
        </is>
      </c>
      <c r="Y218" s="388" t="inlineStr">
        <is>
          <t>18856293655@163.com</t>
        </is>
      </c>
      <c r="Z218" s="369" t="inlineStr">
        <is>
          <t>安徽省池州市东至县木塔乡木塔村董坡组26号</t>
        </is>
      </c>
      <c r="AA218" s="609" t="inlineStr">
        <is>
          <t>南京市栖霞区紫樾府B区6栋1101</t>
        </is>
      </c>
      <c r="AB218" s="369" t="n">
        <v>18856293655</v>
      </c>
      <c r="AC218" s="508" t="inlineStr">
        <is>
          <t>342921199509180916</t>
        </is>
      </c>
      <c r="AD218" s="613" t="inlineStr">
        <is>
          <t>6217001370062519897</t>
        </is>
      </c>
      <c r="AE218" s="609" t="inlineStr">
        <is>
          <t>中国建设银行尧化门支行</t>
        </is>
      </c>
      <c r="AF218" s="609" t="n"/>
      <c r="AG218" s="609" t="inlineStr">
        <is>
          <t>是</t>
        </is>
      </c>
      <c r="AH218" s="370" t="inlineStr">
        <is>
          <t>第一次合同：3个月短期
2025/11/26-2026/2/25</t>
        </is>
      </c>
      <c r="AI218" s="363">
        <f>DATEDIF(--TEXT(MID(AC218,7,8),"0-00-00"),TODAY(),"y")</f>
        <v/>
      </c>
      <c r="AJ218" s="614">
        <f>TEXT(MID(AC218,7,8),"0000-00-00")</f>
        <v/>
      </c>
      <c r="AK218" s="375">
        <f>CHOOSE(MONTH(AJ218),1,1,1,2,2,2,3,3,3,4,4,4)</f>
        <v/>
      </c>
    </row>
    <row r="219" ht="113" customFormat="1" customHeight="1" s="598">
      <c r="A219" s="324" t="n">
        <v>121</v>
      </c>
      <c r="B219" s="389" t="inlineStr">
        <is>
          <t>杨传豪
2026年3月6日 lastday</t>
        </is>
      </c>
      <c r="C219" s="598" t="inlineStr">
        <is>
          <t>南京文石</t>
        </is>
      </c>
      <c r="D219" s="390" t="inlineStr">
        <is>
          <t>男</t>
        </is>
      </c>
      <c r="E219" s="598" t="n">
        <v>15000</v>
      </c>
      <c r="F219" s="325" t="inlineStr">
        <is>
          <t>工资：15K，签订3年合同，试用期6个月，前3个月打八折，实际是短期半年的，人选不知情（地平线的项目）【基础薪资：2500，社保补贴：2500，公积金补贴：700，绩效：4650，外派津贴：4650】
到岗时间：2025年12月3日（周三）</t>
        </is>
      </c>
      <c r="G219" s="391" t="inlineStr">
        <is>
          <t>电子签-南京文石
员工已签署闭环
材料齐全
（实际是短期半年，人选不知情）</t>
        </is>
      </c>
      <c r="H219" s="390" t="inlineStr">
        <is>
          <t>嵌入式测试工程师（C++）</t>
        </is>
      </c>
      <c r="I219" s="329" t="n">
        <v>45994</v>
      </c>
      <c r="J219" s="615" t="inlineStr">
        <is>
          <t>2026年3月6日 lastday因工作能力差和频繁请假失踪找不到人被项目辞退ws和平个人离职。
4月5日结算（2月25-3月6日的薪资）
2、期间2月27日请事假一天，无剩余调休数据</t>
        </is>
      </c>
      <c r="K219" s="600" t="inlineStr">
        <is>
          <t>2026.6.2</t>
        </is>
      </c>
      <c r="L219" s="601" t="n">
        <v>45992</v>
      </c>
      <c r="M219" s="390" t="inlineStr">
        <is>
          <t>南京</t>
        </is>
      </c>
      <c r="N219" s="390" t="inlineStr">
        <is>
          <t>南京</t>
        </is>
      </c>
      <c r="O219" s="598">
        <f>Q219*0.8</f>
        <v/>
      </c>
      <c r="P219" s="598" t="n">
        <v>15000</v>
      </c>
      <c r="Q219" s="598" t="n">
        <v>0</v>
      </c>
      <c r="R219" s="598" t="n">
        <v>0</v>
      </c>
      <c r="S219" s="598" t="n">
        <v>0</v>
      </c>
      <c r="T219" s="332" t="inlineStr">
        <is>
          <t>第一次合同：3年
2025/12/3-2028/12/2
实际短期半年，员工不知情
2026年6月2日被释放</t>
        </is>
      </c>
      <c r="U219" s="393" t="inlineStr">
        <is>
          <t>6个月</t>
        </is>
      </c>
      <c r="V219" s="394" t="inlineStr">
        <is>
          <t>物联网工程</t>
        </is>
      </c>
      <c r="W219" s="395" t="n">
        <v>2022.06</v>
      </c>
      <c r="X219" s="390" t="inlineStr">
        <is>
          <t>本科</t>
        </is>
      </c>
      <c r="Y219" s="396" t="inlineStr">
        <is>
          <t>895597171@qq.com</t>
        </is>
      </c>
      <c r="Z219" s="326" t="inlineStr">
        <is>
          <t>安徽省颍上县鲁口镇鲁口村龙窝自然庄703-1号</t>
        </is>
      </c>
      <c r="AA219" s="554" t="inlineStr">
        <is>
          <t>南京市栖霞区峯汇里7栋12层1207</t>
        </is>
      </c>
      <c r="AB219" s="326" t="n">
        <v>17821277661</v>
      </c>
      <c r="AC219" s="390" t="inlineStr">
        <is>
          <t>34122619981020131X</t>
        </is>
      </c>
      <c r="AD219" s="598" t="inlineStr">
        <is>
          <t>‘6217001540034541613</t>
        </is>
      </c>
      <c r="AE219" s="598" t="inlineStr">
        <is>
          <t>中国建设银行</t>
        </is>
      </c>
      <c r="AF219" s="598" t="n"/>
      <c r="AG219" s="594" t="inlineStr">
        <is>
          <t>否</t>
        </is>
      </c>
      <c r="AH219" s="332" t="inlineStr">
        <is>
          <t>第一次合同：3年
2025/12/3-2028/12/2
实际短期半年，2026年6月2日被释放，人选不知情</t>
        </is>
      </c>
      <c r="AI219" s="324">
        <f>DATEDIF(--TEXT(MID(AC219,7,8),"0-00-00"),TODAY(),"y")</f>
        <v/>
      </c>
      <c r="AJ219" s="602">
        <f>TEXT(MID(AC219,7,8),"0000-00-00")</f>
        <v/>
      </c>
      <c r="AK219" s="337">
        <f>CHOOSE(MONTH(AJ219),1,1,1,2,2,2,3,3,3,4,4,4)</f>
        <v/>
      </c>
    </row>
    <row r="220" s="558">
      <c r="A220" s="82" t="n">
        <v>122</v>
      </c>
      <c r="B220" s="397" t="inlineStr">
        <is>
          <t>张龙祥
2026/5/29日lastday已发离职申请</t>
        </is>
      </c>
      <c r="C220" s="532" t="inlineStr">
        <is>
          <t>北京文石</t>
        </is>
      </c>
      <c r="D220" s="398" t="inlineStr">
        <is>
          <t>男</t>
        </is>
      </c>
      <c r="E220" s="532" t="n">
        <v>12000</v>
      </c>
      <c r="F220" s="266" t="inlineStr">
        <is>
          <t>工资：12K,签订短期6个月合同，试用期1个月打8折【短期半年；人选知情】（基础薪资2420，社保补贴1300，公积金补贴500，绩效3890，外派津贴3890；已前置说明假设项目短期6个月结束没有相关赔偿）</t>
        </is>
      </c>
      <c r="G220" s="379" t="inlineStr">
        <is>
          <t>电子签-北京文石
员工已签署闭环
材料齐全</t>
        </is>
      </c>
      <c r="H220" s="398" t="inlineStr">
        <is>
          <t>实车测试工程师（接待）</t>
        </is>
      </c>
      <c r="I220" s="346" t="n">
        <v>45994</v>
      </c>
      <c r="J220" s="547" t="inlineStr">
        <is>
          <t>2026/5/29lastday
短期自然项目结束离职，然后员工申请的个人原因申请离职完美结束。
北京实车测试工程师（接待）lastday2026年5月29日，离职交接已完成~
1、6.5发放4.25-5.24薪资；
2、5.25周一至5.29周五正常出勤，考勤正常，7.5正常发放5天薪资；
3、4.30，5.8提交了2笔报销费用，待审批发放，预计6月中下旬；
4、结余10.13天调休，等客户确认后发放</t>
        </is>
      </c>
      <c r="K220" s="533" t="inlineStr">
        <is>
          <t>2026.6.2</t>
        </is>
      </c>
      <c r="L220" s="534" t="n">
        <v>45992</v>
      </c>
      <c r="M220" s="398" t="inlineStr">
        <is>
          <t>北京</t>
        </is>
      </c>
      <c r="N220" s="398" t="inlineStr">
        <is>
          <t>北京</t>
        </is>
      </c>
      <c r="O220" s="532" t="n">
        <v>9600</v>
      </c>
      <c r="P220" s="532" t="n">
        <v>12000</v>
      </c>
      <c r="Q220" s="532" t="n">
        <v>0</v>
      </c>
      <c r="R220" s="532" t="n">
        <v>0</v>
      </c>
      <c r="S220" s="532" t="n">
        <v>0</v>
      </c>
      <c r="T220" s="347" t="inlineStr">
        <is>
          <t>第一次合同：6个月短期
2025/12/3-2026/6/2不固定</t>
        </is>
      </c>
      <c r="U220" s="399" t="inlineStr">
        <is>
          <t>试用期1个月打8折</t>
        </is>
      </c>
      <c r="V220" s="400" t="inlineStr">
        <is>
          <t xml:space="preserve"> 机电一体化技术</t>
        </is>
      </c>
      <c r="W220" s="31" t="inlineStr">
        <is>
          <t xml:space="preserve"> 2021.6.18</t>
        </is>
      </c>
      <c r="X220" s="398" t="inlineStr">
        <is>
          <t>大专</t>
        </is>
      </c>
      <c r="Y220" s="401" t="inlineStr">
        <is>
          <t>17702248964@163.com</t>
        </is>
      </c>
      <c r="Z220" s="264" t="inlineStr">
        <is>
          <t>天津市河北区金钟河大街敬宾里16门303</t>
        </is>
      </c>
      <c r="AA220" s="532" t="inlineStr">
        <is>
          <t>北京市海淀区清泽园西区2号楼2单元601</t>
        </is>
      </c>
      <c r="AB220" s="264" t="inlineStr">
        <is>
          <t>，17702248964</t>
        </is>
      </c>
      <c r="AC220" s="509" t="inlineStr">
        <is>
          <t>120105200108092113</t>
        </is>
      </c>
      <c r="AD220" s="532" t="inlineStr">
        <is>
          <t>；6217000066006883446</t>
        </is>
      </c>
      <c r="AE220" s="532" t="inlineStr">
        <is>
          <t>中国建设银行民权门支行</t>
        </is>
      </c>
      <c r="AG220" s="532" t="inlineStr">
        <is>
          <t>是</t>
        </is>
      </c>
      <c r="AH220" s="347" t="inlineStr">
        <is>
          <t>第一次合同：6个月短期
2025/12/3-2026/6/2不固定
20260506汪总确认说张龙祥需要支撑到5月底员工表示没问题</t>
        </is>
      </c>
      <c r="AI220" s="82">
        <f>DATEDIF(--TEXT(MID(AC220,7,8),"0-00-00"),TODAY(),"y")</f>
        <v/>
      </c>
      <c r="AJ220" s="548">
        <f>TEXT(MID(AC220,7,8),"0000-00-00")</f>
        <v/>
      </c>
      <c r="AK220" s="95">
        <f>CHOOSE(MONTH(AJ220),1,1,1,2,2,2,3,3,3,4,4,4)</f>
        <v/>
      </c>
    </row>
    <row r="221" s="558">
      <c r="A221" s="82" t="n">
        <v>123</v>
      </c>
      <c r="B221" s="397" t="inlineStr">
        <is>
          <t>王智
预计2026年月底短期结束就结束，员工希望争取机会但是无果</t>
        </is>
      </c>
      <c r="C221" s="532" t="inlineStr">
        <is>
          <t>北京文石</t>
        </is>
      </c>
      <c r="D221" s="398" t="inlineStr">
        <is>
          <t>男</t>
        </is>
      </c>
      <c r="E221" s="532" t="n">
        <v>15000</v>
      </c>
      <c r="F221" s="266" t="inlineStr">
        <is>
          <t>工资：15K,签订6个月合同，试用期1个月打8折，实际项目6个月，人选知情（基础薪资2420，社保补贴2100，积金补贴700，绩效4890，外派津贴4890；已前置说明假设项目短期6个月结束没有相关赔偿）</t>
        </is>
      </c>
      <c r="G221" s="379" t="inlineStr">
        <is>
          <t>电子签-北京文石
员工已签署闭环
材料齐全</t>
        </is>
      </c>
      <c r="H221" s="398" t="inlineStr">
        <is>
          <t>实车测试工程师（接待）</t>
        </is>
      </c>
      <c r="I221" s="346" t="n">
        <v>45999</v>
      </c>
      <c r="J221" s="547" t="inlineStr">
        <is>
          <t>2026/5/29lastday
短期自然项目结束离职，然后员工申请的个人原因申请离职完美结束~
北京实车测试工程师（接待）lastday2026年5月29日，离职交接已完成~
1、6.5发放4.25-5.24薪资；
2、5.25周一至5.29周五出外勤，提交了外勤卡待林娜审批；7.5正常发放5天薪资；
3、4.29，5.19,5.27提交了3笔报销费用，待审批发放，预计6月及7月中下旬；
4、结余8.63天调休，等客户确认后发放</t>
        </is>
      </c>
      <c r="K221" s="533" t="inlineStr">
        <is>
          <t>2026.1.7</t>
        </is>
      </c>
      <c r="L221" s="534" t="n">
        <v>45992</v>
      </c>
      <c r="M221" s="398" t="inlineStr">
        <is>
          <t>北京</t>
        </is>
      </c>
      <c r="N221" s="398" t="inlineStr">
        <is>
          <t>北京</t>
        </is>
      </c>
      <c r="O221" s="532" t="n">
        <v>12000</v>
      </c>
      <c r="P221" s="532" t="n">
        <v>15000</v>
      </c>
      <c r="Q221" s="532" t="n">
        <v>0</v>
      </c>
      <c r="R221" s="532" t="n">
        <v>0</v>
      </c>
      <c r="S221" s="532" t="n">
        <v>0</v>
      </c>
      <c r="T221" s="347" t="inlineStr">
        <is>
          <t>第一次合同：6个月短期
2025/12/8-2026/6/7不固定</t>
        </is>
      </c>
      <c r="U221" s="399" t="inlineStr">
        <is>
          <t>试用期6个月打8折</t>
        </is>
      </c>
      <c r="V221" s="400" t="inlineStr">
        <is>
          <t>移动物联应用技术</t>
        </is>
      </c>
      <c r="W221" s="31" t="inlineStr">
        <is>
          <t>2023..6</t>
        </is>
      </c>
      <c r="X221" s="398" t="inlineStr">
        <is>
          <t>专科</t>
        </is>
      </c>
      <c r="Y221" s="403" t="inlineStr">
        <is>
          <t xml:space="preserve">wz2065858722@163.com
</t>
        </is>
      </c>
      <c r="Z221" s="264" t="inlineStr">
        <is>
          <t xml:space="preserve"> 山西省永和县交口乡上冯藏村村民小队</t>
        </is>
      </c>
      <c r="AA221" s="532" t="inlineStr">
        <is>
          <t>北京市昌平区西沙各庄207</t>
        </is>
      </c>
      <c r="AB221" s="509" t="inlineStr">
        <is>
          <t>18401374571</t>
        </is>
      </c>
      <c r="AC221" s="509" t="inlineStr">
        <is>
          <t>142634200007049313</t>
        </is>
      </c>
      <c r="AD221" s="532" t="inlineStr">
        <is>
          <t>王智 6215340300008463433</t>
        </is>
      </c>
      <c r="AE221" s="532" t="inlineStr">
        <is>
          <t>中国建设银行</t>
        </is>
      </c>
      <c r="AG221" s="532" t="inlineStr">
        <is>
          <t>是</t>
        </is>
      </c>
      <c r="AH221" s="347" t="inlineStr">
        <is>
          <t>第一次合同：6个月短期
2025/12/8-2026/6/7不固定</t>
        </is>
      </c>
      <c r="AI221" s="82">
        <f>DATEDIF(--TEXT(MID(AC221,7,8),"0-00-00"),TODAY(),"y")</f>
        <v/>
      </c>
      <c r="AJ221" s="548">
        <f>TEXT(MID(AC221,7,8),"0000-00-00")</f>
        <v/>
      </c>
      <c r="AK221" s="95">
        <f>CHOOSE(MONTH(AJ221),1,1,1,2,2,2,3,3,3,4,4,4)</f>
        <v/>
      </c>
    </row>
    <row r="222" customFormat="1" s="616">
      <c r="A222" s="82" t="n">
        <v>124</v>
      </c>
      <c r="B222" s="404" t="inlineStr">
        <is>
          <t>丁欣
（欣琰维他动力项目的兼职-自然月结算）2026年5月29日解除与公司签订的《劳务协议》</t>
        </is>
      </c>
      <c r="C222" s="616" t="inlineStr">
        <is>
          <t>北京文石</t>
        </is>
      </c>
      <c r="D222" s="405" t="inlineStr">
        <is>
          <t>女</t>
        </is>
      </c>
      <c r="E222" s="616" t="n">
        <v>22000</v>
      </c>
      <c r="F222" s="406" t="inlineStr">
        <is>
          <t>工资：22K工资不打折，签订兼职合同，
到岗时间：2025年12月8日，不打折</t>
        </is>
      </c>
      <c r="G222" s="67" t="inlineStr">
        <is>
          <t>电子签-北京文石-劳务协议
员工已签署闭环
材料齐全</t>
        </is>
      </c>
      <c r="H222" s="405" t="inlineStr">
        <is>
          <t>机器人测试员</t>
        </is>
      </c>
      <c r="I222" s="346" t="n">
        <v>45999</v>
      </c>
      <c r="J222" s="617" t="inlineStr">
        <is>
          <t>2026年5月29日lastday员工个人离职觉得薪资低结束劳务协议客户也不要她。机器人测试-丁欣，lastday2026年5月29日今天，离职流程已完成
1.6月10日发（5月1到5月29日薪资）
2.本次考勤周考勤一切正常</t>
        </is>
      </c>
      <c r="K222" s="533" t="inlineStr">
        <is>
          <t>兼职劳务</t>
        </is>
      </c>
      <c r="L222" s="618" t="inlineStr">
        <is>
          <t>兼职不缴纳</t>
        </is>
      </c>
      <c r="M222" s="405" t="inlineStr">
        <is>
          <t>北京</t>
        </is>
      </c>
      <c r="N222" s="405" t="inlineStr">
        <is>
          <t>北京</t>
        </is>
      </c>
      <c r="O222" s="616" t="n">
        <v>22000</v>
      </c>
      <c r="P222" s="616" t="n">
        <v>22000</v>
      </c>
      <c r="Q222" s="532" t="n">
        <v>0</v>
      </c>
      <c r="R222" s="532" t="n">
        <v>0</v>
      </c>
      <c r="S222" s="532" t="n">
        <v>0</v>
      </c>
      <c r="T222" s="67" t="inlineStr">
        <is>
          <t>短期兼职合同，随时撤退
预计6个月</t>
        </is>
      </c>
      <c r="U222" s="616" t="inlineStr">
        <is>
          <t>兼职劳务无试用期</t>
        </is>
      </c>
      <c r="V222" s="616" t="inlineStr">
        <is>
          <t>计算机</t>
        </is>
      </c>
      <c r="W222" s="409" t="inlineStr">
        <is>
          <t>2024.6.30</t>
        </is>
      </c>
      <c r="X222" s="616" t="inlineStr">
        <is>
          <t>大专</t>
        </is>
      </c>
      <c r="Y222" s="616" t="inlineStr">
        <is>
          <t>Tingeee@163.com</t>
        </is>
      </c>
      <c r="Z222" s="410" t="inlineStr">
        <is>
          <t xml:space="preserve"> 河北省涿州市东城坊镇农大路623号</t>
        </is>
      </c>
      <c r="AA222" s="532" t="inlineStr">
        <is>
          <t>北京市海淀区宝盛里东区14号楼2-402</t>
        </is>
      </c>
      <c r="AB222" s="411" t="n">
        <v>13641278417</v>
      </c>
      <c r="AC222" s="619" t="inlineStr">
        <is>
          <t>130681199108113420</t>
        </is>
      </c>
      <c r="AD222" s="616" t="inlineStr">
        <is>
          <t>丁欣 6217000010206792254</t>
        </is>
      </c>
      <c r="AE222" s="532" t="inlineStr">
        <is>
          <t>中国建设银行股份有限公司北京奉先支行</t>
        </is>
      </c>
      <c r="AF222" s="616" t="n"/>
      <c r="AG222" s="616" t="inlineStr">
        <is>
          <t>是</t>
        </is>
      </c>
      <c r="AH222" s="617" t="inlineStr">
        <is>
          <t>短期兼职合同，随时撤退
预计6个月
2025/12/8入职-2026年5月29日离职</t>
        </is>
      </c>
      <c r="AI222" s="82">
        <f>DATEDIF(--TEXT(MID(AC222,7,8),"0-00-00"),TODAY(),"y")</f>
        <v/>
      </c>
      <c r="AJ222" s="548">
        <f>TEXT(MID(AC222,7,8),"0000-00-00")</f>
        <v/>
      </c>
      <c r="AK222" s="95">
        <f>CHOOSE(MONTH(AJ222),1,1,1,2,2,2,3,3,3,4,4,4)</f>
        <v/>
      </c>
    </row>
    <row r="223" s="558">
      <c r="B223" s="266" t="inlineStr">
        <is>
          <t>秦志豪
【大陆芯项目】</t>
        </is>
      </c>
      <c r="C223" s="532" t="inlineStr">
        <is>
          <t>上海文石</t>
        </is>
      </c>
      <c r="D223" s="398" t="inlineStr">
        <is>
          <t>男</t>
        </is>
      </c>
      <c r="E223" s="532" t="n">
        <v>12000</v>
      </c>
      <c r="F223" s="266" t="inlineStr">
        <is>
          <t>12K，签订3年合同，试用期6个月，前3个月不打折。基础薪资：2600，社保补贴：1200，公积金补贴：500，绩效和外派津贴各占50%（3850）】</t>
        </is>
      </c>
      <c r="G223" s="379" t="inlineStr">
        <is>
          <t>电子签-上海文石
员工已签署闭环
材料齐全</t>
        </is>
      </c>
      <c r="H223" s="264" t="inlineStr">
        <is>
          <t>规控测评开发工程师</t>
        </is>
      </c>
      <c r="I223" s="346" t="n">
        <v>46001</v>
      </c>
      <c r="J223" s="533" t="inlineStr">
        <is>
          <t>/</t>
        </is>
      </c>
      <c r="K223" s="533" t="inlineStr">
        <is>
          <t>2026.6.9</t>
        </is>
      </c>
      <c r="L223" s="534" t="n">
        <v>45992</v>
      </c>
      <c r="M223" s="264" t="inlineStr">
        <is>
          <t>上海</t>
        </is>
      </c>
      <c r="N223" s="264" t="inlineStr">
        <is>
          <t>上海</t>
        </is>
      </c>
      <c r="O223" s="532" t="n">
        <v>12000</v>
      </c>
      <c r="P223" s="532" t="n">
        <v>12000</v>
      </c>
      <c r="Q223" s="532" t="n">
        <v>0</v>
      </c>
      <c r="R223" s="532" t="n">
        <v>0</v>
      </c>
      <c r="S223" s="532" t="n">
        <v>0</v>
      </c>
      <c r="T223" s="347" t="inlineStr">
        <is>
          <t>第一次合同：3年
2025/12/10-2028/12/9</t>
        </is>
      </c>
      <c r="U223" s="270" t="n">
        <v>6</v>
      </c>
      <c r="V223" s="270" t="inlineStr">
        <is>
          <t>农业机械</t>
        </is>
      </c>
      <c r="W223" s="268" t="n">
        <v>2024.6</v>
      </c>
      <c r="X223" s="264" t="inlineStr">
        <is>
          <t>硕士</t>
        </is>
      </c>
      <c r="Y223" s="413" t="inlineStr">
        <is>
          <t>1092281350@qq.</t>
        </is>
      </c>
      <c r="Z223" s="414" t="inlineStr">
        <is>
          <t>湖北省武汉市汉阳区沌口路27号6栋二单元402号</t>
        </is>
      </c>
      <c r="AA223" s="532" t="inlineStr">
        <is>
          <t>上海市嘉定区陈家山路88弄2栋2401B</t>
        </is>
      </c>
      <c r="AB223" s="413" t="n">
        <v>15972091906</v>
      </c>
      <c r="AC223" s="496" t="inlineStr">
        <is>
          <t>420101199912157512</t>
        </is>
      </c>
      <c r="AD223" s="511" t="inlineStr">
        <is>
          <t>6217002660012931443</t>
        </is>
      </c>
      <c r="AE223" s="414" t="inlineStr">
        <is>
          <t>中国建设银行尧化门支行</t>
        </is>
      </c>
      <c r="AG223" s="532" t="inlineStr">
        <is>
          <t>是</t>
        </is>
      </c>
      <c r="AH223" s="347" t="inlineStr">
        <is>
          <t>第一次合同：3年
2025/12/10-2028/12/9</t>
        </is>
      </c>
      <c r="AI223" s="82">
        <f>DATEDIF(--TEXT(MID(AC223,7,8),"0-00-00"),TODAY(),"y")</f>
        <v/>
      </c>
      <c r="AJ223" s="548">
        <f>TEXT(MID(AC223,7,8),"0000-00-00")</f>
        <v/>
      </c>
      <c r="AK223" s="95">
        <f>CHOOSE(MONTH(AJ223),1,1,1,2,2,2,3,3,3,4,4,4)</f>
        <v/>
      </c>
    </row>
    <row r="224" ht="146" customFormat="1" customHeight="1" s="598">
      <c r="A224" s="324" t="n"/>
      <c r="B224" s="325" t="inlineStr">
        <is>
          <t>吴宇轩
（邦芒参保）
2025.12.18日lastday</t>
        </is>
      </c>
      <c r="C224" s="599" t="inlineStr">
        <is>
          <t>上海文石</t>
        </is>
      </c>
      <c r="D224" s="390" t="inlineStr">
        <is>
          <t>男</t>
        </is>
      </c>
      <c r="E224" s="598" t="n">
        <v>16000</v>
      </c>
      <c r="F224" s="325" t="inlineStr">
        <is>
          <t>16K，签订3年合同，试用期6个月，前3个月打八折，先兼职协议再劳动（实际为短期半年期，员工不知情）【基础薪资：2600，社保补贴：2200，公积金补贴：700，绩效和外派津贴各占50%（5250）；特殊情况：员工需要办理上海积分，因岗位紧急所需支付1500元文石承担】</t>
        </is>
      </c>
      <c r="G224" s="415" t="inlineStr">
        <is>
          <t>上海文石已签署电子签劳务协议完毕，劳动合同还没签署不签了离职了。
10号入职先按兼职合同，12月19号跟上家公司解除劳动合同，才能给到离职证明，届时劳动合同。
必须走邦芒的社保公积金参保，因为他要办理上海积分</t>
        </is>
      </c>
      <c r="H224" s="326" t="inlineStr">
        <is>
          <t>自动驾驶测试开发工程师（CICD）方向</t>
        </is>
      </c>
      <c r="I224" s="346" t="n">
        <v>46001</v>
      </c>
      <c r="J224" s="600" t="inlineStr">
        <is>
          <t>2025.12.18日lastday</t>
        </is>
      </c>
      <c r="K224" s="533" t="inlineStr">
        <is>
          <t>2026.6.9</t>
        </is>
      </c>
      <c r="L224" s="601" t="n">
        <v>45992</v>
      </c>
      <c r="M224" s="326" t="inlineStr">
        <is>
          <t>上海</t>
        </is>
      </c>
      <c r="N224" s="326" t="inlineStr">
        <is>
          <t>上海-邦芒</t>
        </is>
      </c>
      <c r="O224" s="554">
        <f>Q224*0.8</f>
        <v/>
      </c>
      <c r="P224" s="554">
        <f>F224</f>
        <v/>
      </c>
      <c r="Q224" s="532" t="n">
        <v>0</v>
      </c>
      <c r="R224" s="532" t="n">
        <v>0</v>
      </c>
      <c r="S224" s="532" t="n">
        <v>0</v>
      </c>
      <c r="T224" s="332" t="inlineStr">
        <is>
          <t>第一次合同：3年
2025/12/10-2028/12/9
实际短期半年，员工不知情
2026年6月9日被释放</t>
        </is>
      </c>
      <c r="U224" s="333" t="n">
        <v>6</v>
      </c>
      <c r="V224" s="416" t="inlineStr">
        <is>
          <t>软件工程</t>
        </is>
      </c>
      <c r="W224" s="328" t="inlineStr">
        <is>
          <t>2012.8.11</t>
        </is>
      </c>
      <c r="X224" s="326" t="inlineStr">
        <is>
          <t>本科</t>
        </is>
      </c>
      <c r="Y224" s="417" t="inlineStr">
        <is>
          <t>1041413845@qq.com</t>
        </is>
      </c>
      <c r="Z224" s="416" t="inlineStr">
        <is>
          <t>江苏省如皋市丁堰镇丁新东路205号</t>
        </is>
      </c>
      <c r="AA224" s="532" t="inlineStr">
        <is>
          <t>上海市普陀区大渡河路2030弄3号601</t>
        </is>
      </c>
      <c r="AB224" s="326" t="n">
        <v>13585216706</v>
      </c>
      <c r="AC224" s="501" t="inlineStr">
        <is>
          <t>320682199505061734</t>
        </is>
      </c>
      <c r="AD224" s="501" t="inlineStr">
        <is>
          <t>6217001270023302864</t>
        </is>
      </c>
      <c r="AE224" s="418" t="inlineStr">
        <is>
          <t>中国建设银行尧化门支行</t>
        </is>
      </c>
      <c r="AF224" s="598" t="n"/>
      <c r="AG224" s="598" t="inlineStr">
        <is>
          <t>否</t>
        </is>
      </c>
      <c r="AH224" s="615" t="inlineStr">
        <is>
          <t>第一次合同：3年
2025/12/10-2028/12/9
实际短期半年，员工不知情
2025.12.18日lastday</t>
        </is>
      </c>
      <c r="AI224" s="82">
        <f>DATEDIF(--TEXT(MID(AC224,7,8),"0-00-00"),TODAY(),"y")</f>
        <v/>
      </c>
      <c r="AJ224" s="548">
        <f>TEXT(MID(AC224,7,8),"0000-00-00")</f>
        <v/>
      </c>
      <c r="AK224" s="95">
        <f>CHOOSE(MONTH(AJ224),1,1,1,2,2,2,3,3,3,4,4,4)</f>
        <v/>
      </c>
    </row>
    <row r="225" ht="146" customFormat="1" customHeight="1" s="598">
      <c r="A225" s="324" t="n"/>
      <c r="B225" s="325" t="inlineStr">
        <is>
          <t>李需（地平线挂靠）
李需202512月22号从文石离职，23号转回中科</t>
        </is>
      </c>
      <c r="C225" s="599" t="inlineStr">
        <is>
          <t>/</t>
        </is>
      </c>
      <c r="D225" s="390" t="inlineStr">
        <is>
          <t>男</t>
        </is>
      </c>
      <c r="E225" s="598" t="n">
        <v>14960</v>
      </c>
      <c r="F225" s="325" t="inlineStr">
        <is>
          <t xml:space="preserve">工资：-兼职到12月22日转TS
1、兼职工资：14960÷22（12月份需出勤天数11月25日-12月24日）×实际兼职天数 
2、正式签订三年劳动合同 
①试用期前3个月14960+3000+800=18760 
②第4个月起及转正18700+3000+800=22500 
到岗时间：2025年12月15日 </t>
        </is>
      </c>
      <c r="G225" s="415" t="inlineStr">
        <is>
          <t>上海文石兼职协议电子签
员工已签署闭环</t>
        </is>
      </c>
      <c r="H225" s="326" t="inlineStr">
        <is>
          <t>车载摄像头图像调试工程师</t>
        </is>
      </c>
      <c r="I225" s="329" t="n">
        <v>46006</v>
      </c>
      <c r="J225" s="600" t="inlineStr">
        <is>
          <t>李需202512月22号从文石离职，23号转回中科</t>
        </is>
      </c>
      <c r="K225" s="533" t="inlineStr">
        <is>
          <t>/</t>
        </is>
      </c>
      <c r="L225" s="601" t="inlineStr">
        <is>
          <t>兼职不缴纳</t>
        </is>
      </c>
      <c r="M225" s="326" t="inlineStr">
        <is>
          <t>上海</t>
        </is>
      </c>
      <c r="N225" s="326" t="inlineStr">
        <is>
          <t>上海</t>
        </is>
      </c>
      <c r="O225" s="554">
        <f>Q225*0.8</f>
        <v/>
      </c>
      <c r="P225" s="554">
        <f>F225</f>
        <v/>
      </c>
      <c r="Q225" s="532" t="n">
        <v>0</v>
      </c>
      <c r="R225" s="532" t="n">
        <v>0</v>
      </c>
      <c r="S225" s="532" t="n">
        <v>0</v>
      </c>
      <c r="T225" s="347" t="inlineStr">
        <is>
          <t>第一次劳务合同：-上海
2025/12/15-随时结束</t>
        </is>
      </c>
      <c r="U225" s="333" t="inlineStr">
        <is>
          <t>兼职劳务无试用期</t>
        </is>
      </c>
      <c r="V225" s="416" t="inlineStr">
        <is>
          <t>数据科学与大数据技术</t>
        </is>
      </c>
      <c r="W225" s="419" t="n">
        <v>44713</v>
      </c>
      <c r="X225" s="326" t="inlineStr">
        <is>
          <t>本科</t>
        </is>
      </c>
      <c r="Y225" s="417" t="inlineStr">
        <is>
          <t>319282821@qq.com</t>
        </is>
      </c>
      <c r="Z225" s="416" t="inlineStr">
        <is>
          <t>安徽省凤台县古店乡米集村李桥234</t>
        </is>
      </c>
      <c r="AA225" s="532" t="inlineStr">
        <is>
          <t>上海市闵行区春申路3799弄100支弄绿水家园5号楼702</t>
        </is>
      </c>
      <c r="AB225" s="326" t="n">
        <v>18755420867</v>
      </c>
      <c r="AC225" s="501" t="inlineStr">
        <is>
          <t>340421199904175616</t>
        </is>
      </c>
      <c r="AD225" s="326" t="inlineStr">
        <is>
          <t>；6215340301704801942</t>
        </is>
      </c>
      <c r="AE225" s="418" t="inlineStr">
        <is>
          <t>中国建设银行上海江月路支行</t>
        </is>
      </c>
      <c r="AF225" s="598" t="n"/>
      <c r="AG225" s="598" t="inlineStr">
        <is>
          <t>否</t>
        </is>
      </c>
      <c r="AH225" s="615" t="inlineStr">
        <is>
          <t>兼职忽略</t>
        </is>
      </c>
      <c r="AI225" s="82">
        <f>DATEDIF(--TEXT(MID(AC225,7,8),"0-00-00"),TODAY(),"y")</f>
        <v/>
      </c>
      <c r="AJ225" s="548">
        <f>TEXT(MID(AC225,7,8),"0000-00-00")</f>
        <v/>
      </c>
      <c r="AK225" s="95">
        <f>CHOOSE(MONTH(AJ225),1,1,1,2,2,2,3,3,3,4,4,4)</f>
        <v/>
      </c>
    </row>
    <row r="226" customFormat="1" s="598">
      <c r="A226" s="324" t="n"/>
      <c r="B226" s="325" t="inlineStr">
        <is>
          <t>姜伟伟（地平线挂靠）
2026年1月1日转回TS个人原因离职</t>
        </is>
      </c>
      <c r="C226" s="326" t="inlineStr">
        <is>
          <t>/</t>
        </is>
      </c>
      <c r="D226" s="390" t="inlineStr">
        <is>
          <t>男</t>
        </is>
      </c>
      <c r="E226" s="598" t="n">
        <v>15920</v>
      </c>
      <c r="F226" s="325" t="inlineStr">
        <is>
          <t>兼职工资：--兼职2周拿到离职证明再签署劳动合同就转TS
15920➗22（12月实际需要出勤天数）✖具体兼职天数 
正式合同：前3个月15920+3240 第4个月起及转正19900+3240 
到岗时间:2025年12月15日 
姜伟伟兼职费最终计算方式如下： 
12月份：15920➗21.75✖具体兼职天数 8天 （12.15,12.16，12.17,12.18,12.19,12.22,12.23,12.24）
1月份：15920➗21.75✖具体兼职天数 6天（12.25,12.26,12.29,12.30,12.31,1.1）
按照21.75统一来，正常计算个税，1月5日一次性结清12月份+1月份兼职费</t>
        </is>
      </c>
      <c r="G226" s="332" t="inlineStr">
        <is>
          <t>上海文石兼职协议电子签
员工已签署闭环</t>
        </is>
      </c>
      <c r="H226" s="326" t="inlineStr">
        <is>
          <t>CQE</t>
        </is>
      </c>
      <c r="I226" s="329" t="n">
        <v>46006</v>
      </c>
      <c r="J226" s="600" t="inlineStr">
        <is>
          <t>2026年1月1日转回TS个人原因离职</t>
        </is>
      </c>
      <c r="K226" s="533" t="inlineStr">
        <is>
          <t>/</t>
        </is>
      </c>
      <c r="L226" s="601" t="inlineStr">
        <is>
          <t>兼职不缴纳</t>
        </is>
      </c>
      <c r="M226" s="326" t="inlineStr">
        <is>
          <t>上海</t>
        </is>
      </c>
      <c r="N226" s="326" t="inlineStr">
        <is>
          <t>上海</t>
        </is>
      </c>
      <c r="O226" s="554">
        <f>Q226*0.8</f>
        <v/>
      </c>
      <c r="P226" s="554">
        <f>F226</f>
        <v/>
      </c>
      <c r="Q226" s="532" t="n">
        <v>0</v>
      </c>
      <c r="R226" s="532" t="n">
        <v>0</v>
      </c>
      <c r="S226" s="532" t="n">
        <v>0</v>
      </c>
      <c r="T226" s="347" t="inlineStr">
        <is>
          <t>第一次劳务合同：-上海
2025/12/15-随时结束</t>
        </is>
      </c>
      <c r="U226" s="333" t="inlineStr">
        <is>
          <t>兼职劳务无试用期</t>
        </is>
      </c>
      <c r="V226" s="418" t="inlineStr">
        <is>
          <t>电子信息工程</t>
        </is>
      </c>
      <c r="W226" s="419" t="n">
        <v>2010</v>
      </c>
      <c r="X226" s="326" t="inlineStr">
        <is>
          <t>本科</t>
        </is>
      </c>
      <c r="Y226" s="420" t="inlineStr">
        <is>
          <t>164968905@qq.com</t>
        </is>
      </c>
      <c r="Z226" s="421" t="inlineStr">
        <is>
          <t>江苏省盐城市亭湖区天山中路28号华景园17幢1102室</t>
        </is>
      </c>
      <c r="AA226" s="532" t="inlineStr">
        <is>
          <t>上海市静安区长临路380弄1-185号共康四村9#201室</t>
        </is>
      </c>
      <c r="AB226" s="326" t="n">
        <v>15205111885</v>
      </c>
      <c r="AC226" s="501" t="inlineStr">
        <is>
          <t>320902198802118514</t>
        </is>
      </c>
      <c r="AD226" s="598" t="inlineStr">
        <is>
          <t>；6227001320100262314</t>
        </is>
      </c>
      <c r="AE226" s="598" t="inlineStr">
        <is>
          <t>中国建设银行盐城建军支行</t>
        </is>
      </c>
      <c r="AF226" s="598" t="n"/>
      <c r="AG226" s="598" t="inlineStr">
        <is>
          <t>否</t>
        </is>
      </c>
      <c r="AH226" s="600" t="inlineStr">
        <is>
          <t>兼职忽略</t>
        </is>
      </c>
      <c r="AI226" s="82">
        <f>DATEDIF(--TEXT(MID(AC226,7,8),"0-00-00"),TODAY(),"y")</f>
        <v/>
      </c>
      <c r="AJ226" s="548">
        <f>TEXT(MID(AC226,7,8),"0000-00-00")</f>
        <v/>
      </c>
      <c r="AK226" s="95">
        <f>CHOOSE(MONTH(AJ226),1,1,1,2,2,2,3,3,3,4,4,4)</f>
        <v/>
      </c>
    </row>
    <row r="227" customFormat="1" s="609">
      <c r="A227" s="363" t="n"/>
      <c r="B227" s="364" t="inlineStr">
        <is>
          <t>范志康
（大陆芯）2025年12月31日lastday个人离职</t>
        </is>
      </c>
      <c r="C227" s="609" t="inlineStr">
        <is>
          <t>南京文石</t>
        </is>
      </c>
      <c r="D227" s="383" t="inlineStr">
        <is>
          <t>男</t>
        </is>
      </c>
      <c r="E227" s="609" t="n">
        <v>12000</v>
      </c>
      <c r="F227" s="364" t="inlineStr">
        <is>
          <t>12K，先兼职-再等月底离职流程走完后与上家公司解除劳动合同劳动合同，签订3年合同，试用期6个月，前3个月打8折【基础薪资：2500，社保补贴：2300，公积金补贴：500，绩效和外派津贴各占50%（3350）】</t>
        </is>
      </c>
      <c r="G227" s="370" t="inlineStr">
        <is>
          <t>南京文石电子签协议,不需要签劳动合同
员工已签署闭环
15号入职先按兼职合同，，才能签正式劳动合同。</t>
        </is>
      </c>
      <c r="H227" s="369" t="inlineStr">
        <is>
          <t>功能FAE</t>
        </is>
      </c>
      <c r="I227" s="329" t="n">
        <v>46006</v>
      </c>
      <c r="J227" s="572" t="inlineStr">
        <is>
          <t>2025/12/31个人原因离职，离职原因：
工作内容不适应</t>
        </is>
      </c>
      <c r="K227" s="533" t="inlineStr">
        <is>
          <t>/</t>
        </is>
      </c>
      <c r="L227" s="612" t="inlineStr">
        <is>
          <t>兼职不缴纳</t>
        </is>
      </c>
      <c r="M227" s="369" t="inlineStr">
        <is>
          <t>芜湖</t>
        </is>
      </c>
      <c r="N227" s="369" t="inlineStr">
        <is>
          <t>芜湖</t>
        </is>
      </c>
      <c r="O227" s="554">
        <f>Q227*0.8</f>
        <v/>
      </c>
      <c r="P227" s="554">
        <f>F227</f>
        <v/>
      </c>
      <c r="Q227" s="532" t="n">
        <v>0</v>
      </c>
      <c r="R227" s="532" t="n">
        <v>0</v>
      </c>
      <c r="S227" s="532" t="n">
        <v>0</v>
      </c>
      <c r="T227" s="347" t="inlineStr">
        <is>
          <t>第一次劳务合同：-上海
2025/12/15-随时结束</t>
        </is>
      </c>
      <c r="U227" s="609" t="n">
        <v>6</v>
      </c>
      <c r="V227" s="422" t="inlineStr">
        <is>
          <t>智能科学与技术</t>
        </is>
      </c>
      <c r="W227" s="423" t="n">
        <v>2023.7</v>
      </c>
      <c r="X227" s="369" t="inlineStr">
        <is>
          <t>本科</t>
        </is>
      </c>
      <c r="Y227" s="424" t="inlineStr">
        <is>
          <t>1796574003@qq.com</t>
        </is>
      </c>
      <c r="Z227" s="425" t="inlineStr">
        <is>
          <t>安徽省无为市福渡镇周闸行政村庙后自然村06</t>
        </is>
      </c>
      <c r="AA227" s="532" t="inlineStr">
        <is>
          <t>安徽省无为市陡沟镇计生办小区102</t>
        </is>
      </c>
      <c r="AB227" s="369" t="n">
        <v>13956646193</v>
      </c>
      <c r="AC227" s="505" t="inlineStr">
        <is>
          <t>342623200010232010</t>
        </is>
      </c>
      <c r="AD227" s="609" t="inlineStr">
        <is>
          <t>；6215340300721746858</t>
        </is>
      </c>
      <c r="AE227" s="609" t="inlineStr">
        <is>
          <t>中国建设银行尧化门支行</t>
        </is>
      </c>
      <c r="AF227" s="609" t="n"/>
      <c r="AG227" s="609" t="inlineStr">
        <is>
          <t>否</t>
        </is>
      </c>
      <c r="AH227" s="611" t="inlineStr">
        <is>
          <t>兼职忽略</t>
        </is>
      </c>
      <c r="AI227" s="82">
        <f>DATEDIF(--TEXT(MID(AC227,7,8),"0-00-00"),TODAY(),"y")</f>
        <v/>
      </c>
      <c r="AJ227" s="548">
        <f>TEXT(MID(AC227,7,8),"0000-00-00")</f>
        <v/>
      </c>
      <c r="AK227" s="95">
        <f>CHOOSE(MONTH(AJ227),1,1,1,2,2,2,3,3,3,4,4,4)</f>
        <v/>
      </c>
    </row>
    <row r="228" s="558">
      <c r="B228" s="264" t="inlineStr">
        <is>
          <t>张翔</t>
        </is>
      </c>
      <c r="C228" s="532" t="inlineStr">
        <is>
          <t>上海文石</t>
        </is>
      </c>
      <c r="D228" s="398" t="inlineStr">
        <is>
          <t>男</t>
        </is>
      </c>
      <c r="E228" s="532" t="n">
        <v>13000</v>
      </c>
      <c r="F228" s="266" t="inlineStr">
        <is>
          <t>工资：13K，短期半年，人选不知情签订3年合同，试用期6个月，前3个月打8折【基础薪资：2600，社保补贴：1500，公积金补贴：600，绩效：4150，外派津贴：4150；】</t>
        </is>
      </c>
      <c r="G228" s="267" t="inlineStr">
        <is>
          <t>电子签-上海文石
员工已签署闭环
材料齐全</t>
        </is>
      </c>
      <c r="H228" s="264" t="inlineStr">
        <is>
          <t>数据测试工程师</t>
        </is>
      </c>
      <c r="I228" s="269" t="n">
        <v>46006</v>
      </c>
      <c r="J228" s="533" t="inlineStr">
        <is>
          <t>/</t>
        </is>
      </c>
      <c r="K228" s="533" t="inlineStr">
        <is>
          <t>2026.6.14</t>
        </is>
      </c>
      <c r="L228" s="534" t="n">
        <v>45992</v>
      </c>
      <c r="M228" s="532" t="inlineStr">
        <is>
          <t>上海</t>
        </is>
      </c>
      <c r="N228" s="532" t="inlineStr">
        <is>
          <t>上海</t>
        </is>
      </c>
      <c r="O228" s="554">
        <f>Q228*0.8</f>
        <v/>
      </c>
      <c r="P228" s="554">
        <f>F228</f>
        <v/>
      </c>
      <c r="Q228" s="532" t="n">
        <v>0</v>
      </c>
      <c r="R228" s="532" t="n">
        <v>0</v>
      </c>
      <c r="S228" s="532" t="n">
        <v>0</v>
      </c>
      <c r="T228" s="541" t="inlineStr">
        <is>
          <t>第一次合同：3年
2025/12/15-2028/12/14
短期半年，人选不知情</t>
        </is>
      </c>
      <c r="U228" s="532" t="inlineStr">
        <is>
          <t>6个月</t>
        </is>
      </c>
      <c r="V228" s="414" t="inlineStr">
        <is>
          <t xml:space="preserve"> 软件工程</t>
        </is>
      </c>
      <c r="W228" s="340" t="n">
        <v>45078</v>
      </c>
      <c r="X228" s="264" t="n"/>
      <c r="Y228" s="426" t="inlineStr">
        <is>
          <t xml:space="preserve">1320436763@qq.com
</t>
        </is>
      </c>
      <c r="Z228" s="427" t="inlineStr">
        <is>
          <t>河南省长葛市老城镇岗张村6组</t>
        </is>
      </c>
      <c r="AA228" s="532" t="inlineStr">
        <is>
          <t>江苏省苏州市昆山市花smart智慧城3栋1243</t>
        </is>
      </c>
      <c r="AB228" s="264" t="inlineStr">
        <is>
          <t>，19037308551</t>
        </is>
      </c>
      <c r="AC228" s="496" t="inlineStr">
        <is>
          <t>411082200308173011</t>
        </is>
      </c>
      <c r="AD228" s="532" t="inlineStr">
        <is>
          <t>’6217001650020949611</t>
        </is>
      </c>
      <c r="AE228" s="532" t="inlineStr">
        <is>
          <t>中国建设银行股份有限公司芜湖政务新区支行</t>
        </is>
      </c>
      <c r="AG228" s="532" t="inlineStr">
        <is>
          <t>是</t>
        </is>
      </c>
      <c r="AH228" s="547" t="inlineStr">
        <is>
          <t>第一次合同：3年
2025/12/15-2028/12/14
短期半年26年6月15日释放，人选不知情</t>
        </is>
      </c>
      <c r="AI228" s="82">
        <f>DATEDIF(--TEXT(MID(AC228,7,8),"0-00-00"),TODAY(),"y")</f>
        <v/>
      </c>
      <c r="AJ228" s="548">
        <f>TEXT(MID(AC228,7,8),"0000-00-00")</f>
        <v/>
      </c>
      <c r="AK228" s="95">
        <f>CHOOSE(MONTH(AJ228),1,1,1,2,2,2,3,3,3,4,4,4)</f>
        <v/>
      </c>
    </row>
    <row r="229" s="558">
      <c r="B229" s="264" t="inlineStr">
        <is>
          <t>张小龙</t>
        </is>
      </c>
      <c r="C229" s="532" t="inlineStr">
        <is>
          <t>上海文石</t>
        </is>
      </c>
      <c r="D229" s="398" t="inlineStr">
        <is>
          <t>男</t>
        </is>
      </c>
      <c r="E229" s="532" t="n">
        <v>15335</v>
      </c>
      <c r="F229" s="428" t="inlineStr">
        <is>
          <t>工资：15335，签订3年合同，试用期6个月，前3个月8折（社保最低，公积金15445*5%；基本工资：2600，绩效：5317，外派：5318，社保：2100）
到岗时间：2025年12月17日</t>
        </is>
      </c>
      <c r="G229" s="267" t="inlineStr">
        <is>
          <t>电子签-上海文石
员工已签署闭环
材料齐全</t>
        </is>
      </c>
      <c r="H229" s="264" t="inlineStr">
        <is>
          <t>实车测试工程师</t>
        </is>
      </c>
      <c r="I229" s="269" t="n">
        <v>46008</v>
      </c>
      <c r="J229" s="533" t="inlineStr">
        <is>
          <t>/</t>
        </is>
      </c>
      <c r="K229" s="533" t="inlineStr">
        <is>
          <t>2026.6.16</t>
        </is>
      </c>
      <c r="L229" s="534" t="n">
        <v>46023</v>
      </c>
      <c r="M229" s="264" t="inlineStr">
        <is>
          <t>上海</t>
        </is>
      </c>
      <c r="N229" s="264" t="inlineStr">
        <is>
          <t>上海</t>
        </is>
      </c>
      <c r="O229" s="554">
        <f>Q229*0.8</f>
        <v/>
      </c>
      <c r="P229" s="554">
        <f>F229</f>
        <v/>
      </c>
      <c r="Q229" s="532" t="n">
        <v>0</v>
      </c>
      <c r="R229" s="532" t="n">
        <v>0</v>
      </c>
      <c r="S229" s="532" t="n">
        <v>0</v>
      </c>
      <c r="T229" s="541" t="inlineStr">
        <is>
          <t>第一次合同：3年
2025/12/17-2028/12/16</t>
        </is>
      </c>
      <c r="U229" s="532" t="inlineStr">
        <is>
          <t>6个月</t>
        </is>
      </c>
      <c r="V229" s="414" t="inlineStr">
        <is>
          <t>土木工程</t>
        </is>
      </c>
      <c r="W229" s="340" t="n">
        <v>45078</v>
      </c>
      <c r="X229" s="264" t="inlineStr">
        <is>
          <t>本科</t>
        </is>
      </c>
      <c r="Y229" s="426" t="inlineStr">
        <is>
          <t>19173166047@163.com</t>
        </is>
      </c>
      <c r="Z229" s="427" t="inlineStr">
        <is>
          <t>湖南省衡南县鸡笼镇双溪村塘背组</t>
        </is>
      </c>
      <c r="AA229" s="532" t="inlineStr">
        <is>
          <t>海市浦东新区张江镇川杨新苑三期27号202</t>
        </is>
      </c>
      <c r="AB229" s="264" t="n">
        <v>19173166047</v>
      </c>
      <c r="AC229" s="496" t="inlineStr">
        <is>
          <t>430422200108100019</t>
        </is>
      </c>
      <c r="AD229" s="532" t="inlineStr">
        <is>
          <t>；6217003110018644243</t>
        </is>
      </c>
      <c r="AE229" s="532" t="inlineStr">
        <is>
          <t>中国建设银行股份有限公司佛山狮山支行</t>
        </is>
      </c>
      <c r="AG229" s="532" t="inlineStr">
        <is>
          <t>是</t>
        </is>
      </c>
      <c r="AH229" s="547" t="inlineStr">
        <is>
          <t>第一次合同：3年
2025/12/17-2028/12/16</t>
        </is>
      </c>
      <c r="AI229" s="82">
        <f>DATEDIF(--TEXT(MID(AC229,7,8),"0-00-00"),TODAY(),"y")</f>
        <v/>
      </c>
      <c r="AJ229" s="548">
        <f>TEXT(MID(AC229,7,8),"0000-00-00")</f>
        <v/>
      </c>
      <c r="AK229" s="95">
        <f>CHOOSE(MONTH(AJ229),1,1,1,2,2,2,3,3,3,4,4,4)</f>
        <v/>
      </c>
    </row>
    <row r="230" customFormat="1" s="609">
      <c r="A230" s="363" t="n"/>
      <c r="B230" s="364" t="inlineStr">
        <is>
          <t>王林福-自然月结算2026.1.14lastday
挂靠的，维他的项目。3个月后转回创达</t>
        </is>
      </c>
      <c r="C230" s="609" t="inlineStr">
        <is>
          <t>北京文石</t>
        </is>
      </c>
      <c r="D230" s="383" t="inlineStr">
        <is>
          <t>男</t>
        </is>
      </c>
      <c r="E230" s="609" t="n">
        <v>17000</v>
      </c>
      <c r="F230" s="364" t="inlineStr">
        <is>
          <t>工资：17K，签三年合同，试用期6个月，前三个月打八折【基础薪资：2420，社保补贴：2700，公积金补贴：800，绩效和外派津贴各占50%（5540）】
到岗时间：2025年12月22日</t>
        </is>
      </c>
      <c r="G230" s="370" t="inlineStr">
        <is>
          <t>电子签-北京文石
员工已签署闭环
材料齐全</t>
        </is>
      </c>
      <c r="H230" s="369" t="inlineStr">
        <is>
          <t>机器人测试工程师</t>
        </is>
      </c>
      <c r="I230" s="366" t="n">
        <v>46013</v>
      </c>
      <c r="J230" s="576" t="inlineStr">
        <is>
          <t>2026.1.14lastday个人原因离职</t>
        </is>
      </c>
      <c r="K230" s="533" t="inlineStr">
        <is>
          <t>/</t>
        </is>
      </c>
      <c r="L230" s="612" t="inlineStr">
        <is>
          <t>/</t>
        </is>
      </c>
      <c r="M230" s="369" t="inlineStr">
        <is>
          <t>北京</t>
        </is>
      </c>
      <c r="N230" s="369" t="inlineStr">
        <is>
          <t>北京</t>
        </is>
      </c>
      <c r="O230" s="554">
        <f>Q230*0.8</f>
        <v/>
      </c>
      <c r="P230" s="554">
        <f>F230</f>
        <v/>
      </c>
      <c r="Q230" s="532" t="n">
        <v>0</v>
      </c>
      <c r="R230" s="532" t="n">
        <v>0</v>
      </c>
      <c r="S230" s="532" t="n">
        <v>0</v>
      </c>
      <c r="T230" s="610" t="inlineStr">
        <is>
          <t>第一次合同：3年
2025/12/22-2028/12/21</t>
        </is>
      </c>
      <c r="U230" s="609" t="inlineStr">
        <is>
          <t>6个月</t>
        </is>
      </c>
      <c r="V230" s="422" t="inlineStr">
        <is>
          <t>管理</t>
        </is>
      </c>
      <c r="W230" s="423" t="inlineStr">
        <is>
          <t>2025年06</t>
        </is>
      </c>
      <c r="X230" s="369" t="inlineStr">
        <is>
          <t>本科</t>
        </is>
      </c>
      <c r="Y230" s="429" t="inlineStr">
        <is>
          <t>2981875307@qq.com</t>
        </is>
      </c>
      <c r="Z230" s="425" t="inlineStr">
        <is>
          <t>河南省南阳市卧龙区石桥镇郭庄村后赵皮河4组32号</t>
        </is>
      </c>
      <c r="AA230" s="532" t="inlineStr">
        <is>
          <t>北京市昌平区天通苑东三区2号楼301室</t>
        </is>
      </c>
      <c r="AB230" s="369" t="n">
        <v>15890123051</v>
      </c>
      <c r="AC230" s="505" t="inlineStr">
        <is>
          <t>411303199309173377</t>
        </is>
      </c>
      <c r="AD230" s="609" t="inlineStr">
        <is>
          <t>；6217 0000 1015 9121 626</t>
        </is>
      </c>
      <c r="AE230" s="430" t="inlineStr">
        <is>
          <t>中国建设银行北京北太平支行</t>
        </is>
      </c>
      <c r="AF230" s="609" t="n"/>
      <c r="AG230" s="609" t="inlineStr">
        <is>
          <t>否</t>
        </is>
      </c>
      <c r="AH230" s="572" t="inlineStr">
        <is>
          <t>第一次合同：3年
2025/12/22-2028/12/21</t>
        </is>
      </c>
      <c r="AI230" s="82">
        <f>DATEDIF(--TEXT(MID(AC230,7,8),"0-00-00"),TODAY(),"y")</f>
        <v/>
      </c>
      <c r="AJ230" s="548">
        <f>TEXT(MID(AC230,7,8),"0000-00-00")</f>
        <v/>
      </c>
      <c r="AK230" s="95">
        <f>CHOOSE(MONTH(AJ230),1,1,1,2,2,2,3,3,3,4,4,4)</f>
        <v/>
      </c>
    </row>
    <row r="231" s="558">
      <c r="B231" s="266" t="inlineStr">
        <is>
          <t>李文轩
大陆的项目，
挂靠3个月后转回创达</t>
        </is>
      </c>
      <c r="C231" s="532" t="inlineStr">
        <is>
          <t>上海文石</t>
        </is>
      </c>
      <c r="D231" s="398" t="inlineStr">
        <is>
          <t>男</t>
        </is>
      </c>
      <c r="E231" s="532" t="n">
        <v>23000</v>
      </c>
      <c r="F231" s="428" t="inlineStr">
        <is>
          <t>工资：23K，签三年合同，试用期6个月，前三个月打八折【基础薪资：2600，社保补贴：4000，公积金补贴：1100，绩效和外派津贴各占50%（7650）】
到岗时间：2025年12月24日</t>
        </is>
      </c>
      <c r="G231" s="267" t="inlineStr">
        <is>
          <t>电子签-上海文石
员工已签署闭环
材料齐全</t>
        </is>
      </c>
      <c r="H231" s="264" t="inlineStr">
        <is>
          <t>SR</t>
        </is>
      </c>
      <c r="I231" s="269" t="n">
        <v>46015</v>
      </c>
      <c r="J231" s="533" t="inlineStr">
        <is>
          <t>/</t>
        </is>
      </c>
      <c r="K231" s="533" t="n">
        <v>46196</v>
      </c>
      <c r="L231" s="534" t="n">
        <v>46023</v>
      </c>
      <c r="M231" s="264" t="inlineStr">
        <is>
          <t>上海</t>
        </is>
      </c>
      <c r="N231" s="264" t="inlineStr">
        <is>
          <t>上海</t>
        </is>
      </c>
      <c r="O231" s="554">
        <f>Q231*0.8</f>
        <v/>
      </c>
      <c r="P231" s="554">
        <f>F231</f>
        <v/>
      </c>
      <c r="Q231" s="532" t="n">
        <v>0</v>
      </c>
      <c r="R231" s="532" t="n">
        <v>0</v>
      </c>
      <c r="S231" s="532" t="n">
        <v>0</v>
      </c>
      <c r="T231" s="541" t="inlineStr">
        <is>
          <t>第一次合同：3年
2025/12/24-2028/12/23</t>
        </is>
      </c>
      <c r="U231" s="532" t="inlineStr">
        <is>
          <t>6个月</t>
        </is>
      </c>
      <c r="V231" s="414" t="inlineStr">
        <is>
          <t>电气工程及其自动化</t>
        </is>
      </c>
      <c r="W231" s="340" t="n">
        <v>2021.06</v>
      </c>
      <c r="X231" s="264" t="inlineStr">
        <is>
          <t>本科</t>
        </is>
      </c>
      <c r="Y231" s="426" t="inlineStr">
        <is>
          <t>871842520@qq.com</t>
        </is>
      </c>
      <c r="Z231" s="427" t="inlineStr">
        <is>
          <t>重庆市大渡口区大滨中路9号2幢1单元7-3</t>
        </is>
      </c>
      <c r="AA231" s="532" t="inlineStr">
        <is>
          <t>江苏省苏州市昆山市花桥镇阿里巴巴电子商务大厦915</t>
        </is>
      </c>
      <c r="AB231" s="264" t="n">
        <v>13752833112</v>
      </c>
      <c r="AC231" s="496" t="inlineStr">
        <is>
          <t>500104199904010413</t>
        </is>
      </c>
      <c r="AD231" s="532" t="inlineStr">
        <is>
          <t>‘6217003760109543124</t>
        </is>
      </c>
      <c r="AE231" s="532" t="inlineStr">
        <is>
          <t>中国建设银行股份有限公司重庆大渡口锦霞支行</t>
        </is>
      </c>
      <c r="AG231" s="532" t="inlineStr">
        <is>
          <t>否</t>
        </is>
      </c>
      <c r="AH231" s="547" t="inlineStr">
        <is>
          <t>第一次合同：3年
2025/12/24-2028/12/23</t>
        </is>
      </c>
      <c r="AI231" s="82">
        <f>DATEDIF(--TEXT(MID(AC231,7,8),"0-00-00"),TODAY(),"y")</f>
        <v/>
      </c>
      <c r="AJ231" s="548">
        <f>TEXT(MID(AC231,7,8),"0000-00-00")</f>
        <v/>
      </c>
      <c r="AK231" s="95">
        <f>CHOOSE(MONTH(AJ231),1,1,1,2,2,2,3,3,3,4,4,4)</f>
        <v/>
      </c>
    </row>
    <row r="232" customFormat="1" s="598">
      <c r="A232" s="324" t="n"/>
      <c r="B232" s="325" t="inlineStr">
        <is>
          <t>王舒畅
2026.1.16
lastday被辞退</t>
        </is>
      </c>
      <c r="C232" s="598" t="inlineStr">
        <is>
          <t>北京文石</t>
        </is>
      </c>
      <c r="D232" s="390" t="inlineStr">
        <is>
          <t>女</t>
        </is>
      </c>
      <c r="E232" s="598" t="n">
        <v>19000</v>
      </c>
      <c r="F232" s="431" t="inlineStr">
        <is>
          <t>工资：19K,签订3年合同，试用期6个月，前3个月9折【基础薪资：2420，社保补贴：3200，公积金补贴：1000，绩效：6190，外派津贴：6190；注意：新增需求半年期，走人力HC，人选不知情】
到岗时间：2025年12月31日（本周三）</t>
        </is>
      </c>
      <c r="G232" s="332" t="inlineStr">
        <is>
          <t>电子签-北京文石
员工已签署闭环
材料齐全</t>
        </is>
      </c>
      <c r="H232" s="326" t="inlineStr">
        <is>
          <t>python开发工程师</t>
        </is>
      </c>
      <c r="I232" s="329" t="n">
        <v>46022</v>
      </c>
      <c r="J232" s="615" t="inlineStr">
        <is>
          <t>2026.1.16个人原因离职
试用期表现不好最终个人原因离职</t>
        </is>
      </c>
      <c r="K232" s="533" t="n">
        <v>46203</v>
      </c>
      <c r="L232" s="601" t="inlineStr">
        <is>
          <t>/</t>
        </is>
      </c>
      <c r="M232" s="326" t="inlineStr">
        <is>
          <t>北京</t>
        </is>
      </c>
      <c r="N232" s="326" t="inlineStr">
        <is>
          <t>北京</t>
        </is>
      </c>
      <c r="O232" s="598">
        <f>Q232*0.9</f>
        <v/>
      </c>
      <c r="P232" s="598">
        <f>F232</f>
        <v/>
      </c>
      <c r="Q232" s="598" t="n">
        <v>0</v>
      </c>
      <c r="R232" s="598" t="n">
        <v>0</v>
      </c>
      <c r="S232" s="598" t="n">
        <v>0</v>
      </c>
      <c r="T232" s="599" t="inlineStr">
        <is>
          <t>第一次合同：3年
2025/12/31-2028/12/30</t>
        </is>
      </c>
      <c r="U232" s="598" t="inlineStr">
        <is>
          <t>6个月</t>
        </is>
      </c>
      <c r="V232" s="418" t="inlineStr">
        <is>
          <t>计算机科学与技术</t>
        </is>
      </c>
      <c r="W232" s="419" t="inlineStr">
        <is>
          <t>2020年06</t>
        </is>
      </c>
      <c r="X232" s="326" t="inlineStr">
        <is>
          <t>本科</t>
        </is>
      </c>
      <c r="Y232" s="432" t="inlineStr">
        <is>
          <t>15690181591@163.com</t>
        </is>
      </c>
      <c r="Z232" s="421" t="inlineStr">
        <is>
          <t>河北省衡水市枣强县张秀屯镇西果村256号</t>
        </is>
      </c>
      <c r="AA232" s="532" t="inlineStr">
        <is>
          <t>北京市顺义区赵全营镇三街</t>
        </is>
      </c>
      <c r="AB232" s="326" t="n">
        <v>15690181591</v>
      </c>
      <c r="AC232" s="501" t="inlineStr">
        <is>
          <t>131121200509160263</t>
        </is>
      </c>
      <c r="AD232" s="598" t="inlineStr">
        <is>
          <t>；6215340300008785975</t>
        </is>
      </c>
      <c r="AE232" s="598" t="inlineStr">
        <is>
          <t>中国建设银行北京马坡支行</t>
        </is>
      </c>
      <c r="AF232" s="598" t="n"/>
      <c r="AG232" s="598" t="inlineStr">
        <is>
          <t>否</t>
        </is>
      </c>
      <c r="AH232" s="615" t="inlineStr">
        <is>
          <t>第一次合同：3年
2025/12/31-2028/12/30</t>
        </is>
      </c>
      <c r="AI232" s="324">
        <f>DATEDIF(--TEXT(MID(AC232,7,8),"0-00-00"),TODAY(),"y")</f>
        <v/>
      </c>
      <c r="AJ232" s="602">
        <f>TEXT(MID(AC232,7,8),"0000-00-00")</f>
        <v/>
      </c>
      <c r="AK232" s="337">
        <f>CHOOSE(MONTH(AJ232),1,1,1,2,2,2,3,3,3,4,4,4)</f>
        <v/>
      </c>
    </row>
    <row r="233" customFormat="1" s="598">
      <c r="A233" s="324" t="n"/>
      <c r="B233" s="431" t="inlineStr">
        <is>
          <t>要忠强
（大陆项目）
-2026年4月3日lastday</t>
        </is>
      </c>
      <c r="C233" s="598" t="inlineStr">
        <is>
          <t>南京文石</t>
        </is>
      </c>
      <c r="D233" s="390" t="inlineStr">
        <is>
          <t>男</t>
        </is>
      </c>
      <c r="E233" s="598" t="n">
        <v>22000</v>
      </c>
      <c r="F233" s="431" t="inlineStr">
        <is>
          <t>22K,签订3年合同，试用期6个月，前3个月8折【基础薪资：2500，社保补贴：4200，公积金补贴：1000，绩效：7150，外派津贴：7150】
前3个月，在项报酬为:基本工资2500元/月，绩效工资4950元/月，外派津贴4950元/月，社保补贴4200元/月，公积金补贴1000元/月，合计
17600元/月。
第4个月起，在项报酬为:基本工资2500元/月，绩效工资7150元/月，外派津贴7150元/月，社保补贴4200元/月，公积金补贴1000元/月，合计
22000元/月。</t>
        </is>
      </c>
      <c r="G233" s="332" t="inlineStr">
        <is>
          <t>电子签-南京文石
员工已签署闭环
材料齐全
人选女权且体检肝不好死脑筋</t>
        </is>
      </c>
      <c r="H233" s="326" t="inlineStr">
        <is>
          <t>HMI C++软件开发高级工程师</t>
        </is>
      </c>
      <c r="I233" s="329" t="n">
        <v>46034</v>
      </c>
      <c r="J233" s="431" t="inlineStr">
        <is>
          <t>2026年4月3日lastday，因为个人能力被辞退，文石个人原因离职</t>
        </is>
      </c>
      <c r="K233" s="600" t="n">
        <v>46214</v>
      </c>
      <c r="L233" s="601" t="n">
        <v>46023</v>
      </c>
      <c r="M233" s="326" t="inlineStr">
        <is>
          <t>南京</t>
        </is>
      </c>
      <c r="N233" s="326" t="inlineStr">
        <is>
          <t>南京</t>
        </is>
      </c>
      <c r="O233" s="598">
        <f>Q233*0.8</f>
        <v/>
      </c>
      <c r="P233" s="598">
        <f>F233</f>
        <v/>
      </c>
      <c r="Q233" s="598" t="n">
        <v>0</v>
      </c>
      <c r="R233" s="598" t="n">
        <v>0</v>
      </c>
      <c r="S233" s="598" t="n">
        <v>0</v>
      </c>
      <c r="T233" s="599" t="inlineStr">
        <is>
          <t>第一次合同：3年
2025/12/31-2028/12/30</t>
        </is>
      </c>
      <c r="U233" s="598" t="n">
        <v>6</v>
      </c>
      <c r="V233" s="418" t="inlineStr">
        <is>
          <t>日语</t>
        </is>
      </c>
      <c r="W233" s="419" t="n">
        <v>2017.7</v>
      </c>
      <c r="X233" s="326" t="inlineStr">
        <is>
          <t>本科</t>
        </is>
      </c>
      <c r="Y233" s="432" t="inlineStr">
        <is>
          <t>897516559@qq.com</t>
        </is>
      </c>
      <c r="Z233" s="421" t="inlineStr">
        <is>
          <t>山东省聊城市冠县桑阿镇桑阿镇村905号</t>
        </is>
      </c>
      <c r="AA233" s="554" t="inlineStr">
        <is>
          <t>南京市栖霞区熙景和苑11栋901</t>
        </is>
      </c>
      <c r="AB233" s="326" t="n">
        <v>18817330738</v>
      </c>
      <c r="AC233" s="501" t="inlineStr">
        <is>
          <t>37152519910402231X</t>
        </is>
      </c>
      <c r="AD233" s="620" t="inlineStr">
        <is>
          <t>6217003800061103713</t>
        </is>
      </c>
      <c r="AE233" s="598" t="inlineStr">
        <is>
          <t>中国建设银行成都五福桥支行</t>
        </is>
      </c>
      <c r="AF233" s="598" t="n"/>
      <c r="AG233" s="598" t="inlineStr">
        <is>
          <t>是</t>
        </is>
      </c>
      <c r="AH233" s="615" t="inlineStr">
        <is>
          <t>第一次合同：3年
2025/12/31-2028/12/30</t>
        </is>
      </c>
      <c r="AI233" s="324">
        <f>DATEDIF(--TEXT(MID(AC233,7,8),"0-00-00"),TODAY(),"y")</f>
        <v/>
      </c>
      <c r="AJ233" s="602">
        <f>TEXT(MID(AC233,7,8),"0000-00-00")</f>
        <v/>
      </c>
      <c r="AK233" s="337">
        <f>CHOOSE(MONTH(AJ233),1,1,1,2,2,2,3,3,3,4,4,4)</f>
        <v/>
      </c>
    </row>
    <row r="234" s="558">
      <c r="B234" s="266" t="inlineStr">
        <is>
          <t>夏念丰
（大陆）</t>
        </is>
      </c>
      <c r="C234" s="532" t="inlineStr">
        <is>
          <t>上海文石</t>
        </is>
      </c>
      <c r="D234" s="398" t="inlineStr">
        <is>
          <t>男</t>
        </is>
      </c>
      <c r="E234" s="532" t="n">
        <v>16000</v>
      </c>
      <c r="F234" s="428" t="inlineStr">
        <is>
          <t>16K，签订3年合同，试用期6个月，前3个月特批不打折【注意：经HR争取特殊情况走特批，申请了前3个月不打折；基础薪资：2600，社保补贴：2200，公积金补贴：700，绩效和外派津贴各占50%（5250）】</t>
        </is>
      </c>
      <c r="G234" s="347" t="inlineStr">
        <is>
          <t>2026年1月12日到岗签劳务合同已完成后废除，16号拿到离职证明转劳动合同已发起
1月份wxyj上家已缴纳，
文石从26年2月开始缴纳五险一金</t>
        </is>
      </c>
      <c r="H234" s="264" t="inlineStr">
        <is>
          <t>智驾中间件开发工程师</t>
        </is>
      </c>
      <c r="I234" s="269" t="n">
        <v>46034</v>
      </c>
      <c r="J234" s="533" t="inlineStr">
        <is>
          <t>/</t>
        </is>
      </c>
      <c r="K234" s="533" t="n">
        <v>46214</v>
      </c>
      <c r="L234" s="534" t="n">
        <v>46023</v>
      </c>
      <c r="M234" s="264" t="inlineStr">
        <is>
          <t>上海</t>
        </is>
      </c>
      <c r="N234" s="264" t="inlineStr">
        <is>
          <t>上海</t>
        </is>
      </c>
      <c r="O234" s="554">
        <f>Q234</f>
        <v/>
      </c>
      <c r="P234" s="554">
        <f>F234</f>
        <v/>
      </c>
      <c r="Q234" s="532" t="n">
        <v>0</v>
      </c>
      <c r="R234" s="532" t="n">
        <v>0</v>
      </c>
      <c r="S234" s="532" t="n">
        <v>0</v>
      </c>
      <c r="T234" s="541" t="inlineStr">
        <is>
          <t>第一次劳务合同不用管：2026.1.12-结束后废除
第一次合同：3年
2025/12/31-2028/12/30</t>
        </is>
      </c>
      <c r="U234" s="532" t="n">
        <v>6</v>
      </c>
      <c r="V234" s="414" t="inlineStr">
        <is>
          <t>计算机科学与技术</t>
        </is>
      </c>
      <c r="W234" s="340" t="n">
        <v>45536</v>
      </c>
      <c r="X234" s="264" t="inlineStr">
        <is>
          <t>本科</t>
        </is>
      </c>
      <c r="Y234" s="426" t="inlineStr">
        <is>
          <t>2453555409@qq.com</t>
        </is>
      </c>
      <c r="Z234" s="427" t="inlineStr">
        <is>
          <t>浙江省温州市苍南县宜山镇夹中堡新村75号</t>
        </is>
      </c>
      <c r="AA234" s="532" t="inlineStr">
        <is>
          <t>上海市浦东新区金石苑9栋601</t>
        </is>
      </c>
      <c r="AB234" s="264" t="n">
        <v>13819794298</v>
      </c>
      <c r="AC234" s="496" t="inlineStr">
        <is>
          <t>330327200202180951</t>
        </is>
      </c>
      <c r="AD234" s="546" t="inlineStr">
        <is>
          <t>6217001590022371648</t>
        </is>
      </c>
      <c r="AE234" s="532" t="inlineStr">
        <is>
          <t>中国建设银行宁波支行</t>
        </is>
      </c>
      <c r="AG234" s="532" t="inlineStr">
        <is>
          <t>是</t>
        </is>
      </c>
      <c r="AH234" s="547" t="inlineStr">
        <is>
          <t>第一次劳务合同不用管：2026.1.12-结束后废除，因为没离职证明
第一次合同：3年2025/12/31-2028/12/30</t>
        </is>
      </c>
      <c r="AI234" s="82">
        <f>DATEDIF(--TEXT(MID(AC234,7,8),"0-00-00"),TODAY(),"y")</f>
        <v/>
      </c>
      <c r="AJ234" s="548">
        <f>TEXT(MID(AC234,7,8),"0000-00-00")</f>
        <v/>
      </c>
      <c r="AK234" s="95">
        <f>CHOOSE(MONTH(AJ234),1,1,1,2,2,2,3,3,3,4,4,4)</f>
        <v/>
      </c>
    </row>
    <row r="235" customFormat="1" s="616">
      <c r="A235" s="411" t="n"/>
      <c r="B235" s="406" t="inlineStr">
        <is>
          <t>许家骏
睿行短期兼职</t>
        </is>
      </c>
      <c r="C235" s="616" t="inlineStr">
        <is>
          <t>/</t>
        </is>
      </c>
      <c r="D235" s="405" t="inlineStr">
        <is>
          <t>男</t>
        </is>
      </c>
      <c r="E235" s="616" t="inlineStr">
        <is>
          <t>600/天</t>
        </is>
      </c>
      <c r="F235" s="433" t="inlineStr">
        <is>
          <t>劳务费：600/天，南京，薪资：2周一结（工作14天，第17天我们会和项目上确认下你的考勤，第18天下班前就会给您发薪）
合同：签6-12个月的兼职合同
到岗时间：2026年1月19日（下周一）
其他：不缴纳五险一金</t>
        </is>
      </c>
      <c r="G235" s="434" t="inlineStr">
        <is>
          <t>电子兼职协议-南京文石不缴纳五险一金
员工已签署闭环
材料齐全</t>
        </is>
      </c>
      <c r="H235" s="65" t="inlineStr">
        <is>
          <t>Java工程师-兼职</t>
        </is>
      </c>
      <c r="I235" s="435" t="n">
        <v>46041</v>
      </c>
      <c r="J235" s="436" t="inlineStr">
        <is>
          <t>2026/5/29lastday
兼职自然项目结束离职，然后员工申请的个人原因申请离项完美结束
但是员工没签署离职确认单
最后5月份的20天创达雪婷扣除了15%的结算单金额</t>
        </is>
      </c>
      <c r="K235" s="621" t="inlineStr">
        <is>
          <t>兼职劳务</t>
        </is>
      </c>
      <c r="L235" s="618" t="n">
        <v>46054</v>
      </c>
      <c r="M235" s="65" t="inlineStr">
        <is>
          <t>南京</t>
        </is>
      </c>
      <c r="N235" s="65" t="inlineStr">
        <is>
          <t>南京</t>
        </is>
      </c>
      <c r="O235" s="607">
        <f>Q235</f>
        <v/>
      </c>
      <c r="P235" s="607">
        <f>F235</f>
        <v/>
      </c>
      <c r="Q235" s="616" t="n">
        <v>0</v>
      </c>
      <c r="R235" s="616" t="n">
        <v>0</v>
      </c>
      <c r="S235" s="616" t="n">
        <v>0</v>
      </c>
      <c r="T235" s="622" t="inlineStr">
        <is>
          <t>第一次合同：南京文石-劳务电子签2026.1.19-随时结束</t>
        </is>
      </c>
      <c r="U235" s="616" t="inlineStr">
        <is>
          <t>兼职劳务无试用期</t>
        </is>
      </c>
      <c r="V235" s="438" t="inlineStr">
        <is>
          <t xml:space="preserve"> 应用英语</t>
        </is>
      </c>
      <c r="W235" s="439" t="n">
        <v>40422</v>
      </c>
      <c r="X235" s="65" t="inlineStr">
        <is>
          <t>大专</t>
        </is>
      </c>
      <c r="Y235" s="440" t="inlineStr">
        <is>
          <t>601406897@qq.com</t>
        </is>
      </c>
      <c r="Z235" s="441" t="inlineStr">
        <is>
          <t>安徽省芜湖市芜湖县陶辛镇友谊行政村梅许自然村33号</t>
        </is>
      </c>
      <c r="AA235" s="532" t="inlineStr">
        <is>
          <t>南京江宁区麒麟街道银亿东城九街区2栋一单元1002室</t>
        </is>
      </c>
      <c r="AB235" s="65" t="n">
        <v>13285515160</v>
      </c>
      <c r="AC235" s="513" t="inlineStr">
        <is>
          <t>340221198707227610</t>
        </is>
      </c>
      <c r="AD235" s="616" t="inlineStr">
        <is>
          <t>；6214671370012860231</t>
        </is>
      </c>
      <c r="AE235" s="616" t="inlineStr">
        <is>
          <t>中国建设银行南京中山南路支行</t>
        </is>
      </c>
      <c r="AF235" s="616" t="n"/>
      <c r="AG235" s="616" t="inlineStr">
        <is>
          <t>是</t>
        </is>
      </c>
      <c r="AH235" s="617" t="inlineStr">
        <is>
          <t>第一次合同：南京文石-劳务电子签2026.1.19-随时结束</t>
        </is>
      </c>
      <c r="AI235" s="411">
        <f>DATEDIF(--TEXT(MID(AC235,7,8),"0-00-00"),TODAY(),"y")</f>
        <v/>
      </c>
      <c r="AJ235" s="623">
        <f>TEXT(MID(AC235,7,8),"0000-00-00")</f>
        <v/>
      </c>
      <c r="AK235" s="443">
        <f>CHOOSE(MONTH(AJ235),1,1,1,2,2,2,3,3,3,4,4,4)</f>
        <v/>
      </c>
    </row>
    <row r="236" s="558">
      <c r="B236" s="266" t="inlineStr">
        <is>
          <t>李想--1月开始缴纳，1月员工承担
欣琰地瓜项目</t>
        </is>
      </c>
      <c r="C236" s="532" t="inlineStr">
        <is>
          <t>北京文石</t>
        </is>
      </c>
      <c r="D236" s="398" t="inlineStr">
        <is>
          <t>女</t>
        </is>
      </c>
      <c r="E236" s="532" t="n">
        <v>14000</v>
      </c>
      <c r="F236" s="428" t="inlineStr">
        <is>
          <t>工资：14K,签订3年合同，试用期6个月，第1个月8折，第2、3个月打9折【基础薪资：2420，社保补贴：1900，公积金补贴：600，绩效：4540，外派津贴：4540】
到岗时间：2026年1月21日（周三）</t>
        </is>
      </c>
      <c r="G236" s="267" t="inlineStr">
        <is>
          <t>电子签-北京文石
员工已签署闭环
材料齐全
文石应该从2月开始缴，员工主动沟通从1月开始缴纳五险一金，其中员工自己承担1月五险一金所有费用，</t>
        </is>
      </c>
      <c r="H236" s="264" t="inlineStr">
        <is>
          <t>嵌入式测试工程师</t>
        </is>
      </c>
      <c r="I236" s="269" t="n">
        <v>46043</v>
      </c>
      <c r="J236" s="533" t="inlineStr">
        <is>
          <t>/</t>
        </is>
      </c>
      <c r="K236" s="533" t="n">
        <v>46223</v>
      </c>
      <c r="L236" s="534" t="n">
        <v>46054</v>
      </c>
      <c r="M236" s="264" t="inlineStr">
        <is>
          <t>北京</t>
        </is>
      </c>
      <c r="N236" s="264" t="inlineStr">
        <is>
          <t>北京</t>
        </is>
      </c>
      <c r="O236" s="554">
        <f>Q236*0.8</f>
        <v/>
      </c>
      <c r="P236" s="554">
        <f>F236</f>
        <v/>
      </c>
      <c r="Q236" s="532" t="n">
        <v>0</v>
      </c>
      <c r="R236" s="532" t="n">
        <v>0</v>
      </c>
      <c r="S236" s="532" t="n">
        <v>0</v>
      </c>
      <c r="T236" s="541" t="inlineStr">
        <is>
          <t>第一次合同：3年
2026/1/21-2029/1/21</t>
        </is>
      </c>
      <c r="U236" s="532" t="inlineStr">
        <is>
          <t>6个月</t>
        </is>
      </c>
      <c r="V236" s="414" t="inlineStr">
        <is>
          <t>计算机信息管理</t>
        </is>
      </c>
      <c r="W236" s="340" t="n">
        <v>45108</v>
      </c>
      <c r="X236" s="264" t="inlineStr">
        <is>
          <t>大专</t>
        </is>
      </c>
      <c r="Y236" s="426" t="inlineStr">
        <is>
          <t>lx2879353432@126.com</t>
        </is>
      </c>
      <c r="Z236" s="427" t="inlineStr">
        <is>
          <t xml:space="preserve"> 北京市昌平区沙河镇中经宿舍</t>
        </is>
      </c>
      <c r="AA236" s="532" t="inlineStr">
        <is>
          <t>河南省延津县谭龙街道办事处东吐村204号</t>
        </is>
      </c>
      <c r="AB236" s="264" t="n">
        <v>18236152317</v>
      </c>
      <c r="AC236" s="496" t="inlineStr">
        <is>
          <t>410726199811014246</t>
        </is>
      </c>
      <c r="AD236" s="532" t="inlineStr">
        <is>
          <t>；6217000010164180468</t>
        </is>
      </c>
      <c r="AE236" s="532" t="inlineStr">
        <is>
          <t>中国建设银行北京龙锦支行</t>
        </is>
      </c>
      <c r="AG236" s="532" t="inlineStr">
        <is>
          <t>是</t>
        </is>
      </c>
      <c r="AH236" s="547" t="inlineStr">
        <is>
          <t>第一次合同：3年
2026/1/21-2029/1/21</t>
        </is>
      </c>
      <c r="AI236" s="82">
        <f>DATEDIF(--TEXT(MID(AC236,7,8),"0-00-00"),TODAY(),"y")</f>
        <v/>
      </c>
      <c r="AJ236" s="548">
        <f>TEXT(MID(AC236,7,8),"0000-00-00")</f>
        <v/>
      </c>
      <c r="AK236" s="95">
        <f>CHOOSE(MONTH(AJ236),1,1,1,2,2,2,3,3,3,4,4,4)</f>
        <v/>
      </c>
    </row>
    <row r="237" s="558">
      <c r="B237" s="264" t="inlineStr">
        <is>
          <t>曾茹</t>
        </is>
      </c>
      <c r="C237" s="532" t="inlineStr">
        <is>
          <t>上海文石</t>
        </is>
      </c>
      <c r="D237" s="264" t="inlineStr">
        <is>
          <t>女</t>
        </is>
      </c>
      <c r="E237" s="532">
        <f>14500</f>
        <v/>
      </c>
      <c r="F237" s="266" t="inlineStr">
        <is>
          <t>工资：14.5K，签订三年合同，试用期6个月，前3个月8折【基础薪资：2600，社保补贴：1900，公积金补贴：600，绩效和外派津贴各占50%（4700）】
到岗时间：2026年3月11日</t>
        </is>
      </c>
      <c r="G237" s="267" t="inlineStr">
        <is>
          <t>电子签-上海文石
员工已签署闭环
材料齐全</t>
        </is>
      </c>
      <c r="H237" s="264" t="inlineStr">
        <is>
          <t>自动驾驶测试开发工程师（软件方向）</t>
        </is>
      </c>
      <c r="I237" s="269" t="n">
        <v>46092</v>
      </c>
      <c r="J237" s="533" t="inlineStr">
        <is>
          <t>/</t>
        </is>
      </c>
      <c r="K237" s="269" t="n">
        <v>46275</v>
      </c>
      <c r="L237" s="534" t="n">
        <v>46082</v>
      </c>
      <c r="M237" s="264" t="inlineStr">
        <is>
          <t>上海</t>
        </is>
      </c>
      <c r="N237" s="264" t="inlineStr">
        <is>
          <t>上海</t>
        </is>
      </c>
      <c r="O237" s="532" t="n">
        <v>11600</v>
      </c>
      <c r="P237" s="532" t="n">
        <v>14500</v>
      </c>
      <c r="Q237" s="264" t="n">
        <v>0</v>
      </c>
      <c r="R237" s="264" t="n">
        <v>0</v>
      </c>
      <c r="S237" s="264" t="n">
        <v>0</v>
      </c>
      <c r="T237" s="270" t="inlineStr">
        <is>
          <t>三年</t>
        </is>
      </c>
      <c r="U237" s="270" t="inlineStr">
        <is>
          <t>6个月</t>
        </is>
      </c>
      <c r="V237" s="270" t="inlineStr">
        <is>
          <t>财务管理</t>
        </is>
      </c>
      <c r="W237" s="340" t="n">
        <v>2020.09</v>
      </c>
      <c r="X237" s="264" t="inlineStr">
        <is>
          <t>本科</t>
        </is>
      </c>
      <c r="Y237" s="444" t="inlineStr">
        <is>
          <t>1443465778@qq.com</t>
        </is>
      </c>
      <c r="Z237" s="414" t="inlineStr">
        <is>
          <t>江西省瑞金市象湖镇绵江路2号二栋1单元401号</t>
        </is>
      </c>
      <c r="AA237" s="532" t="inlineStr">
        <is>
          <t xml:space="preserve">上海市浦东新区惠南镇民乐城建欣苑东苑40号504 </t>
        </is>
      </c>
      <c r="AB237" s="264" t="n">
        <v>17091246775</v>
      </c>
      <c r="AC237" s="496" t="inlineStr">
        <is>
          <t>360781199803130028</t>
        </is>
      </c>
      <c r="AD237" s="532" t="inlineStr">
        <is>
          <t>；6217002090005385003</t>
        </is>
      </c>
      <c r="AE237" s="532" t="inlineStr">
        <is>
          <t>中国建设银行抚州东华支行</t>
        </is>
      </c>
      <c r="AG237" s="532" t="inlineStr">
        <is>
          <t>是</t>
        </is>
      </c>
      <c r="AH237" s="547" t="inlineStr">
        <is>
          <t>第一次合同：3年
2026/3/11-2029/3/10</t>
        </is>
      </c>
      <c r="AI237" s="82">
        <f>DATEDIF(--TEXT(MID(AC237,7,8),"0-00-00"),TODAY(),"y")</f>
        <v/>
      </c>
      <c r="AJ237" s="548">
        <f>TEXT(MID(AC237,7,8),"0000-00-00")</f>
        <v/>
      </c>
      <c r="AK237" s="95">
        <f>CHOOSE(MONTH(AJ237),1,1,1,2,2,2,3,3,3,4,4,4)</f>
        <v/>
      </c>
    </row>
    <row r="238" s="558">
      <c r="B238" s="264" t="inlineStr">
        <is>
          <t>姜鹏成</t>
        </is>
      </c>
      <c r="C238" s="532" t="inlineStr">
        <is>
          <t>上海文石</t>
        </is>
      </c>
      <c r="D238" s="264" t="inlineStr">
        <is>
          <t>男</t>
        </is>
      </c>
      <c r="E238" s="532" t="n">
        <v>17000</v>
      </c>
      <c r="F238" s="266" t="inlineStr">
        <is>
          <t>工资：17K,签订3年合同，试用期6个月，均不打折（注意：因是赵亮内推，特殊申请均不打折；基本薪资：2600，社保补贴：2500，公积金补贴：800
，绩效：5550，外派津贴：5550）
到岗时间：2026年3月11日</t>
        </is>
      </c>
      <c r="G238" s="267" t="inlineStr">
        <is>
          <t>电子签-上海文石
员工已签署闭环
材料齐全</t>
        </is>
      </c>
      <c r="H238" s="264" t="inlineStr">
        <is>
          <t>自动驾驶集成测试工程师</t>
        </is>
      </c>
      <c r="I238" s="269" t="n">
        <v>46092</v>
      </c>
      <c r="J238" s="533" t="inlineStr">
        <is>
          <t>/</t>
        </is>
      </c>
      <c r="K238" s="269" t="n">
        <v>46275</v>
      </c>
      <c r="L238" s="534" t="n">
        <v>46082</v>
      </c>
      <c r="M238" s="264" t="inlineStr">
        <is>
          <t>上海</t>
        </is>
      </c>
      <c r="N238" s="264" t="inlineStr">
        <is>
          <t>上海</t>
        </is>
      </c>
      <c r="O238" s="532">
        <f>17000</f>
        <v/>
      </c>
      <c r="P238" s="532" t="n">
        <v>17000</v>
      </c>
      <c r="Q238" s="264" t="n">
        <v>0</v>
      </c>
      <c r="R238" s="264" t="n">
        <v>0</v>
      </c>
      <c r="S238" s="264" t="n">
        <v>0</v>
      </c>
      <c r="T238" s="270" t="inlineStr">
        <is>
          <t>三年</t>
        </is>
      </c>
      <c r="U238" s="270" t="inlineStr">
        <is>
          <t>6个月</t>
        </is>
      </c>
      <c r="V238" s="270" t="inlineStr">
        <is>
          <t>通讯工程</t>
        </is>
      </c>
      <c r="W238" s="340" t="n">
        <v>2019.09</v>
      </c>
      <c r="X238" s="264" t="inlineStr">
        <is>
          <t>本科</t>
        </is>
      </c>
      <c r="Y238" s="445" t="inlineStr">
        <is>
          <t>michaelg00@163.com</t>
        </is>
      </c>
      <c r="Z238" s="414" t="inlineStr">
        <is>
          <t>安徽省淮南市凤台县桂集镇黄庙居委会姜老队049</t>
        </is>
      </c>
      <c r="AA238" s="532" t="inlineStr">
        <is>
          <t>上海市浦东新区秋岚路高行绿洲2期16号301</t>
        </is>
      </c>
      <c r="AB238" s="264" t="n">
        <v>13956436352</v>
      </c>
      <c r="AC238" s="496" t="inlineStr">
        <is>
          <t>340421199511011231</t>
        </is>
      </c>
      <c r="AD238" s="532" t="inlineStr">
        <is>
          <t>;6217001180047217669</t>
        </is>
      </c>
      <c r="AE238" s="532" t="inlineStr">
        <is>
          <t>中国建设银行上海高桥支行</t>
        </is>
      </c>
      <c r="AG238" s="532" t="inlineStr">
        <is>
          <t>是</t>
        </is>
      </c>
      <c r="AH238" s="547" t="inlineStr">
        <is>
          <t>第一次合同：3年
2026/3/11-2029/3/10</t>
        </is>
      </c>
      <c r="AI238" s="82">
        <f>DATEDIF(--TEXT(MID(AC238,7,8),"0-00-00"),TODAY(),"y")</f>
        <v/>
      </c>
      <c r="AJ238" s="548">
        <f>TEXT(MID(AC238,7,8),"0000-00-00")</f>
        <v/>
      </c>
      <c r="AK238" s="95">
        <f>CHOOSE(MONTH(AJ238),1,1,1,2,2,2,3,3,3,4,4,4)</f>
        <v/>
      </c>
    </row>
    <row r="239" s="558">
      <c r="B239" s="532" t="inlineStr">
        <is>
          <t>黄梦龙-挂靠</t>
        </is>
      </c>
      <c r="C239" s="532" t="inlineStr">
        <is>
          <t>上海文石</t>
        </is>
      </c>
      <c r="D239" s="264" t="inlineStr">
        <is>
          <t>男</t>
        </is>
      </c>
      <c r="E239" s="532">
        <f>17600+2660+740</f>
        <v/>
      </c>
      <c r="F239" s="541" t="inlineStr">
        <is>
          <t>工资：offer薪资：17600，社保补贴：2660，公积金补贴：740【社保+公积金补贴4月份薪资周期开始发放，五险一金最低（社保：7460，公积金：2690*5%）】
签订3年合同，试用期6个月，试用期前3个月薪资为正常转正薪资，均不打折
到岗时间：2026年3月16日【离职满6个月后可切回TS工作，在此期间先签订文石这边的合同，安排入职工作，人选希望能够尽快收到offer】</t>
        </is>
      </c>
      <c r="G239" s="267" t="inlineStr">
        <is>
          <t>电子签-上海文石
员工已签署闭环
材料齐全</t>
        </is>
      </c>
      <c r="H239" s="532" t="inlineStr">
        <is>
          <t>实车测试工程师（行车）</t>
        </is>
      </c>
      <c r="I239" s="269" t="n">
        <v>46097</v>
      </c>
      <c r="J239" s="533" t="inlineStr">
        <is>
          <t>/</t>
        </is>
      </c>
      <c r="K239" s="269" t="n">
        <v>46280</v>
      </c>
      <c r="L239" s="534" t="n">
        <v>46113</v>
      </c>
      <c r="M239" s="264" t="inlineStr">
        <is>
          <t>上海</t>
        </is>
      </c>
      <c r="N239" s="264" t="inlineStr">
        <is>
          <t>上海</t>
        </is>
      </c>
      <c r="O239" s="532">
        <f>17600+2660+740</f>
        <v/>
      </c>
      <c r="P239" s="532">
        <f>17600+2660+740</f>
        <v/>
      </c>
      <c r="Q239" s="264" t="n">
        <v>0</v>
      </c>
      <c r="R239" s="264" t="n">
        <v>0</v>
      </c>
      <c r="S239" s="264" t="n">
        <v>0</v>
      </c>
      <c r="T239" s="270" t="inlineStr">
        <is>
          <t>三年</t>
        </is>
      </c>
      <c r="U239" s="270" t="inlineStr">
        <is>
          <t>6个月</t>
        </is>
      </c>
      <c r="V239" s="414" t="inlineStr">
        <is>
          <t>工商企业管理</t>
        </is>
      </c>
      <c r="W239" s="340" t="n">
        <v>2012.06</v>
      </c>
      <c r="X239" s="264" t="inlineStr">
        <is>
          <t>本科</t>
        </is>
      </c>
      <c r="Y239" s="444" t="inlineStr">
        <is>
          <t>735227044@qq.com</t>
        </is>
      </c>
      <c r="Z239" s="414" t="inlineStr">
        <is>
          <t>湖南省株洲市石峰区石峰头一村30栋</t>
        </is>
      </c>
      <c r="AA239" s="532" t="inlineStr">
        <is>
          <t>上海嘉定环球文创园c栋8315号</t>
        </is>
      </c>
      <c r="AB239" s="264" t="inlineStr">
        <is>
          <t>‘18673377255</t>
        </is>
      </c>
      <c r="AC239" s="496" t="inlineStr">
        <is>
          <t>430203198910145011</t>
        </is>
      </c>
      <c r="AD239" s="12" t="inlineStr">
        <is>
          <t>；6217001180095732296</t>
        </is>
      </c>
      <c r="AE239" s="12" t="inlineStr">
        <is>
          <t>中国建设银行上海洋泾支行</t>
        </is>
      </c>
      <c r="AG239" s="532" t="inlineStr">
        <is>
          <t>是</t>
        </is>
      </c>
      <c r="AH239" s="547" t="inlineStr">
        <is>
          <t>第一次合同：3年
2026/3/16-2029/3/15</t>
        </is>
      </c>
      <c r="AI239" s="82">
        <f>DATEDIF(--TEXT(MID(AC239,7,8),"0-00-00"),TODAY(),"y")</f>
        <v/>
      </c>
      <c r="AJ239" s="548">
        <f>TEXT(MID(AC239,7,8),"0000-00-00")</f>
        <v/>
      </c>
      <c r="AK239" s="95">
        <f>CHOOSE(MONTH(AJ239),1,1,1,2,2,2,3,3,3,4,4,4)</f>
        <v/>
      </c>
    </row>
    <row r="240" customFormat="1" s="554">
      <c r="A240" s="230" t="n"/>
      <c r="B240" s="446" t="inlineStr">
        <is>
          <t>魏国武-维他</t>
        </is>
      </c>
      <c r="C240" s="554" t="inlineStr">
        <is>
          <t>北京文石</t>
        </is>
      </c>
      <c r="D240" s="446" t="inlineStr">
        <is>
          <t>男</t>
        </is>
      </c>
      <c r="E240" s="554" t="n">
        <v>9000</v>
      </c>
      <c r="F240" s="447" t="inlineStr">
        <is>
          <t xml:space="preserve">最终版-维他-魏国武北京产品专家
工资：基本薪资9000+提成形式说明【提成按照月销售60台以内1%，60-90台1.5%，90台以上按2%阶梯式提成规则 （机器狗单价约1.3万元） 】。五险一金（公积金比例：（最低基数5%）：北京最低社保基数：7162，最低公积金基数：2674）。签订3年合同，试用期6个月，试用期不打折。发薪日每月10号发上个自然月的。
到岗时间：2026年3月18日
</t>
        </is>
      </c>
      <c r="G240" s="448" t="inlineStr">
        <is>
          <t>电子签-北京文石-
合同9k已重签完毕-创达推荐刺头
员工已签署闭环
材料齐全</t>
        </is>
      </c>
      <c r="H240" s="446" t="inlineStr">
        <is>
          <t>产品专家</t>
        </is>
      </c>
      <c r="I240" s="449" t="n">
        <v>46099</v>
      </c>
      <c r="J240" s="571" t="n"/>
      <c r="K240" s="449" t="n">
        <v>46282</v>
      </c>
      <c r="L240" s="573" t="n">
        <v>46113</v>
      </c>
      <c r="M240" s="446" t="inlineStr">
        <is>
          <t>北京</t>
        </is>
      </c>
      <c r="N240" s="446" t="inlineStr">
        <is>
          <t>北京</t>
        </is>
      </c>
      <c r="O240" s="554" t="n"/>
      <c r="P240" s="554" t="n"/>
      <c r="Q240" s="446" t="n">
        <v>0</v>
      </c>
      <c r="R240" s="446" t="n">
        <v>0</v>
      </c>
      <c r="S240" s="446" t="n">
        <v>0</v>
      </c>
      <c r="T240" s="450" t="inlineStr">
        <is>
          <t>三年</t>
        </is>
      </c>
      <c r="U240" s="450" t="inlineStr">
        <is>
          <t>6个月</t>
        </is>
      </c>
      <c r="V240" s="450" t="inlineStr">
        <is>
          <t>物流工程</t>
        </is>
      </c>
      <c r="W240" s="451" t="n">
        <v>2025.06</v>
      </c>
      <c r="X240" s="446" t="inlineStr">
        <is>
          <t>本科</t>
        </is>
      </c>
      <c r="Y240" s="452" t="inlineStr">
        <is>
          <t>W19565310725@163.com</t>
        </is>
      </c>
      <c r="Z240" s="453" t="inlineStr">
        <is>
          <t>河北省承德市围场满族蒙古族自治县山湾子乡红葫芦村宋家窝铺50号</t>
        </is>
      </c>
      <c r="AA240" s="554" t="inlineStr">
        <is>
          <t>北京市天通苑燕丹村450号</t>
        </is>
      </c>
      <c r="AB240" s="446" t="inlineStr">
        <is>
          <t>‘19565310725</t>
        </is>
      </c>
      <c r="AC240" s="514" t="inlineStr">
        <is>
          <t>130828200206136110</t>
        </is>
      </c>
      <c r="AD240" s="554" t="inlineStr">
        <is>
          <t>‘6217000160017040557</t>
        </is>
      </c>
      <c r="AE240" s="554" t="inlineStr">
        <is>
          <t>中国建设银行衡水人民支行</t>
        </is>
      </c>
      <c r="AF240" s="554" t="n"/>
      <c r="AG240" s="554" t="inlineStr">
        <is>
          <t>是</t>
        </is>
      </c>
      <c r="AH240" s="576" t="inlineStr">
        <is>
          <t>第一次合同：3年
2026/3/18-2029/3/17</t>
        </is>
      </c>
      <c r="AI240" s="230">
        <f>DATEDIF(--TEXT(MID(AC240,7,8),"0-00-00"),TODAY(),"y")</f>
        <v/>
      </c>
      <c r="AJ240" s="577">
        <f>TEXT(MID(AC240,7,8),"0000-00-00")</f>
        <v/>
      </c>
      <c r="AK240" s="237">
        <f>CHOOSE(MONTH(AJ240),1,1,1,2,2,2,3,3,3,4,4,4)</f>
        <v/>
      </c>
    </row>
    <row r="241" s="558">
      <c r="B241" s="266" t="inlineStr">
        <is>
          <t>周明慧-维他
也要离职时间待定</t>
        </is>
      </c>
      <c r="C241" s="541" t="inlineStr">
        <is>
          <t>上海文石
个人要求不缴纳五险一金已签署协议</t>
        </is>
      </c>
      <c r="D241" s="264" t="inlineStr">
        <is>
          <t>女</t>
        </is>
      </c>
      <c r="E241" s="532" t="n">
        <v>7000</v>
      </c>
      <c r="F241" s="266" t="inlineStr">
        <is>
          <t>工资：基本薪资7000+提成形式说明【提成按照月销售60台以内1%，60-90台1.5%，90台以上按2%阶梯式提成规则 （机器狗单价约1.3万元） 】正常缴纳五险一金，签订3年合同，试用期6个月前3个月8折
到岗时间：2026年3月18日（下周三）</t>
        </is>
      </c>
      <c r="G241" s="267" t="inlineStr">
        <is>
          <t>电子签-上海文石
员工已签署闭环
材料齐全</t>
        </is>
      </c>
      <c r="H241" s="264" t="inlineStr">
        <is>
          <t>产品专家</t>
        </is>
      </c>
      <c r="I241" s="269" t="n">
        <v>46099</v>
      </c>
      <c r="K241" s="269" t="n">
        <v>46282</v>
      </c>
      <c r="L241" s="534" t="n">
        <v>46113</v>
      </c>
      <c r="M241" s="264" t="inlineStr">
        <is>
          <t>上海</t>
        </is>
      </c>
      <c r="N241" s="266" t="inlineStr">
        <is>
          <t>上海
个人不缴纳五险一金</t>
        </is>
      </c>
      <c r="Q241" s="264" t="n">
        <v>0</v>
      </c>
      <c r="R241" s="264" t="n">
        <v>0</v>
      </c>
      <c r="S241" s="264" t="n">
        <v>0</v>
      </c>
      <c r="T241" s="270" t="inlineStr">
        <is>
          <t>三年</t>
        </is>
      </c>
      <c r="U241" s="270" t="inlineStr">
        <is>
          <t>6个月</t>
        </is>
      </c>
      <c r="V241" s="270" t="inlineStr">
        <is>
          <t>国际商务</t>
        </is>
      </c>
      <c r="W241" s="340" t="n">
        <v>44713</v>
      </c>
      <c r="X241" s="264" t="inlineStr">
        <is>
          <t>本科</t>
        </is>
      </c>
      <c r="Y241" s="445" t="inlineStr">
        <is>
          <t>1250489399@qq.com</t>
        </is>
      </c>
      <c r="Z241" s="414" t="inlineStr">
        <is>
          <t>河南省正阳县真阳镇顺河街466-8-7号</t>
        </is>
      </c>
      <c r="AA241" s="532" t="inlineStr">
        <is>
          <t>上海市浦东新区羽山路魔方公寓5043</t>
        </is>
      </c>
      <c r="AB241" s="264" t="inlineStr">
        <is>
          <t>’17516106021</t>
        </is>
      </c>
      <c r="AC241" s="496" t="inlineStr">
        <is>
          <t>412829200008110126</t>
        </is>
      </c>
      <c r="AD241" s="532" t="inlineStr">
        <is>
          <t>’6217001180096644490</t>
        </is>
      </c>
      <c r="AE241" s="532" t="inlineStr">
        <is>
          <t>中国建设银行南京西路支行</t>
        </is>
      </c>
      <c r="AG241" s="532" t="inlineStr">
        <is>
          <t>是</t>
        </is>
      </c>
      <c r="AH241" s="547" t="inlineStr">
        <is>
          <t>第一次合同：3年
2026/3/18-2029/3/17</t>
        </is>
      </c>
      <c r="AI241" s="82">
        <f>DATEDIF(--TEXT(MID(AC241,7,8),"0-00-00"),TODAY(),"y")</f>
        <v/>
      </c>
      <c r="AJ241" s="548">
        <f>TEXT(MID(AC241,7,8),"0000-00-00")</f>
        <v/>
      </c>
      <c r="AK241" s="95">
        <f>CHOOSE(MONTH(AJ241),1,1,1,2,2,2,3,3,3,4,4,4)</f>
        <v/>
      </c>
    </row>
    <row r="242" customFormat="1" s="598">
      <c r="A242" s="324" t="n"/>
      <c r="B242" s="325" t="inlineStr">
        <is>
          <t>田和兵-维他-
就当没这个人</t>
        </is>
      </c>
      <c r="C242" s="624" t="inlineStr">
        <is>
          <t>上海文石</t>
        </is>
      </c>
      <c r="D242" s="326" t="inlineStr">
        <is>
          <t>男</t>
        </is>
      </c>
      <c r="E242" s="598" t="n">
        <v>5000</v>
      </c>
      <c r="F242" s="325" t="inlineStr">
        <is>
          <t>工资：基本薪资5000+提成形式说明【提成按照月销售60台以内1%，60-90台1.5%，90台以上按2%阶梯式提成规则 （机器狗单价约1.3万元） 】正常缴纳五险一金，签订3年合同，试用期6个月均不打折【创达HR韩路路的人选，推荐过来的按照不打折来】
到岗时间：2026年3月18日（周三）</t>
        </is>
      </c>
      <c r="G242" s="332" t="inlineStr">
        <is>
          <t>维他-材料待准备-先不发合同-就当没这个人</t>
        </is>
      </c>
      <c r="H242" s="326" t="inlineStr">
        <is>
          <t>产品专家</t>
        </is>
      </c>
      <c r="I242" s="329" t="n">
        <v>46099</v>
      </c>
      <c r="J242" s="600" t="n"/>
      <c r="K242" s="454" t="n">
        <v>46282</v>
      </c>
      <c r="L242" s="625" t="n">
        <v>46113</v>
      </c>
      <c r="M242" s="326" t="inlineStr">
        <is>
          <t>上海</t>
        </is>
      </c>
      <c r="N242" s="326" t="inlineStr">
        <is>
          <t>上海</t>
        </is>
      </c>
      <c r="O242" s="598" t="n"/>
      <c r="P242" s="598" t="n"/>
      <c r="Q242" s="326" t="n">
        <v>0</v>
      </c>
      <c r="R242" s="326" t="n">
        <v>0</v>
      </c>
      <c r="S242" s="326" t="n">
        <v>0</v>
      </c>
      <c r="T242" s="333" t="inlineStr">
        <is>
          <t>三年</t>
        </is>
      </c>
      <c r="U242" s="333" t="inlineStr">
        <is>
          <t>6个月</t>
        </is>
      </c>
      <c r="V242" s="333" t="inlineStr">
        <is>
          <t>会计学</t>
        </is>
      </c>
      <c r="W242" s="456" t="n">
        <v>2024.06</v>
      </c>
      <c r="X242" s="326" t="inlineStr">
        <is>
          <t>本科</t>
        </is>
      </c>
      <c r="Y242" s="457" t="inlineStr">
        <is>
          <t>980011023@qq.com</t>
        </is>
      </c>
      <c r="Z242" s="418" t="inlineStr">
        <is>
          <t>重庆市开州区大德镇东坪村7组51号</t>
        </is>
      </c>
      <c r="AA242" s="532" t="inlineStr">
        <is>
          <t>上海市闵行区颛桥镇颛北城汽配公寓B223号</t>
        </is>
      </c>
      <c r="AB242" s="326" t="inlineStr">
        <is>
          <t>‘19124220470</t>
        </is>
      </c>
      <c r="AC242" s="501" t="inlineStr">
        <is>
          <t>500234200205176659</t>
        </is>
      </c>
      <c r="AD242" s="598" t="inlineStr">
        <is>
          <t>‘6215340300410219241</t>
        </is>
      </c>
      <c r="AE242" s="598" t="inlineStr">
        <is>
          <t>中国建设银行股份有限公司增城豪园支行</t>
        </is>
      </c>
      <c r="AF242" s="598" t="n"/>
      <c r="AG242" s="598" t="inlineStr">
        <is>
          <t>是</t>
        </is>
      </c>
      <c r="AH242" s="615" t="inlineStr">
        <is>
          <t>第一次合同：3年
2026/3/18-2029/3/17</t>
        </is>
      </c>
      <c r="AI242" s="82">
        <f>DATEDIF(--TEXT(MID(AC242,7,8),"0-00-00"),TODAY(),"y")</f>
        <v/>
      </c>
      <c r="AJ242" s="548">
        <f>TEXT(MID(AC242,7,8),"0000-00-00")</f>
        <v/>
      </c>
      <c r="AK242" s="95">
        <f>CHOOSE(MONTH(AJ242),1,1,1,2,2,2,3,3,3,4,4,4)</f>
        <v/>
      </c>
    </row>
    <row r="243" customFormat="1" s="554">
      <c r="A243" s="230" t="n"/>
      <c r="B243" s="447" t="inlineStr">
        <is>
          <t>沈丽丽-维他
2026.4.1lastday</t>
        </is>
      </c>
      <c r="C243" s="554" t="inlineStr">
        <is>
          <t>上海文石</t>
        </is>
      </c>
      <c r="D243" s="446" t="inlineStr">
        <is>
          <t>女</t>
        </is>
      </c>
      <c r="E243" s="554" t="n">
        <v>6000</v>
      </c>
      <c r="F243" s="447" t="inlineStr">
        <is>
          <t xml:space="preserve">最终版
维他-沈丽丽上海产品专家
工资：基本薪资6000+提成形式说明【提成按照月销售60台以内1%，60-90台1.5%，90台以上按2%阶梯式提成规则 （机器狗单价约1.3万元） 】正常缴纳五险一金，签订3年合同，试用期6个月前3个月8折
到岗时间：2026年3月18日
</t>
        </is>
      </c>
      <c r="G243" s="448" t="inlineStr">
        <is>
          <t>电子签-上海文石-薪资6k
员工已签署闭环
材料齐全</t>
        </is>
      </c>
      <c r="H243" s="446" t="inlineStr">
        <is>
          <t>产品专家</t>
        </is>
      </c>
      <c r="I243" s="449" t="n">
        <v>46099</v>
      </c>
      <c r="J243" s="576" t="inlineStr">
        <is>
          <t>2026/4/1lastday
1、4.10结算（3.18-3.31薪资，应出勤12天，实际出勤12.5天，具体如下图记录表格）5.10结算4.1一天薪资；
2、近期都在门店，无资产需要归还。</t>
        </is>
      </c>
      <c r="K243" s="449" t="n">
        <v>46282</v>
      </c>
      <c r="L243" s="573" t="n">
        <v>46113</v>
      </c>
      <c r="M243" s="446" t="inlineStr">
        <is>
          <t>上海</t>
        </is>
      </c>
      <c r="N243" s="446" t="inlineStr">
        <is>
          <t>上海</t>
        </is>
      </c>
      <c r="O243" s="554" t="n"/>
      <c r="P243" s="554" t="n"/>
      <c r="Q243" s="446" t="n">
        <v>0</v>
      </c>
      <c r="R243" s="446" t="n">
        <v>0</v>
      </c>
      <c r="S243" s="446" t="n">
        <v>0</v>
      </c>
      <c r="T243" s="450" t="inlineStr">
        <is>
          <t>三年</t>
        </is>
      </c>
      <c r="U243" s="450" t="inlineStr">
        <is>
          <t>6个月</t>
        </is>
      </c>
      <c r="V243" s="450" t="inlineStr">
        <is>
          <t>天然药物方向</t>
        </is>
      </c>
      <c r="W243" s="451" t="inlineStr">
        <is>
          <t>2023 年 7 月</t>
        </is>
      </c>
      <c r="X243" s="446" t="inlineStr">
        <is>
          <t>大专</t>
        </is>
      </c>
      <c r="Y243" s="452" t="inlineStr">
        <is>
          <t>1710392025@qq.com</t>
        </is>
      </c>
      <c r="Z243" s="453" t="inlineStr">
        <is>
          <t>江苏省南通市海门市悦来镇四组3号</t>
        </is>
      </c>
      <c r="AA243" s="554" t="inlineStr">
        <is>
          <t>上海市嘉定区城北路 218 号自如友寓1713</t>
        </is>
      </c>
      <c r="AB243" s="446" t="n">
        <v>19539463644</v>
      </c>
      <c r="AC243" s="514" t="inlineStr">
        <is>
          <t>32068419971011392X</t>
        </is>
      </c>
      <c r="AD243" s="554" t="inlineStr">
        <is>
          <t>；6217001180096083327</t>
        </is>
      </c>
      <c r="AE243" s="554" t="inlineStr">
        <is>
          <t>中国建设银行上海环城路支行</t>
        </is>
      </c>
      <c r="AF243" s="554" t="n"/>
      <c r="AG243" s="554" t="inlineStr">
        <is>
          <t>是</t>
        </is>
      </c>
      <c r="AH243" s="576" t="inlineStr">
        <is>
          <t>第一次合同：3年
2026/3/18-2029/3/17</t>
        </is>
      </c>
      <c r="AI243" s="230">
        <f>DATEDIF(--TEXT(MID(AC243,7,8),"0-00-00"),TODAY(),"y")</f>
        <v/>
      </c>
      <c r="AJ243" s="577">
        <f>TEXT(MID(AC243,7,8),"0000-00-00")</f>
        <v/>
      </c>
      <c r="AK243" s="237">
        <f>CHOOSE(MONTH(AJ243),1,1,1,2,2,2,3,3,3,4,4,4)</f>
        <v/>
      </c>
    </row>
    <row r="244" customFormat="1" s="554">
      <c r="A244" s="230" t="n"/>
      <c r="B244" s="447" t="inlineStr">
        <is>
          <t>宁佳音-维他
2026/3/20lastday</t>
        </is>
      </c>
      <c r="C244" s="554" t="inlineStr">
        <is>
          <t>上海文石</t>
        </is>
      </c>
      <c r="D244" s="446" t="inlineStr">
        <is>
          <t>女</t>
        </is>
      </c>
      <c r="E244" s="554" t="n">
        <v>7000</v>
      </c>
      <c r="F244" s="447" t="inlineStr">
        <is>
          <t>基本薪资7000+提成形式说明【提成按照月销售60台以内1%，60-90台1.5%，90台以上按2%阶梯式提成规则 （机器狗单价约1.3万元） 】正常缴纳五险一金，签订3年合同，试用期6个月前3个月8折</t>
        </is>
      </c>
      <c r="G244" s="448" t="inlineStr">
        <is>
          <t>电子签-上海文石-上家协商离职刺头
员工已签署闭环
材料齐全</t>
        </is>
      </c>
      <c r="H244" s="446" t="inlineStr">
        <is>
          <t>产品专家</t>
        </is>
      </c>
      <c r="I244" s="449" t="n">
        <v>46099</v>
      </c>
      <c r="J244" s="576" t="inlineStr">
        <is>
          <t>2026/3/20lastday
干了3天就没干了
不知是否结算
索要他本人离职证明不给她</t>
        </is>
      </c>
      <c r="K244" s="449" t="n">
        <v>46282</v>
      </c>
      <c r="L244" s="573" t="n">
        <v>46113</v>
      </c>
      <c r="M244" s="446" t="inlineStr">
        <is>
          <t>上海</t>
        </is>
      </c>
      <c r="N244" s="446" t="inlineStr">
        <is>
          <t>上海</t>
        </is>
      </c>
      <c r="O244" s="554" t="n"/>
      <c r="P244" s="554" t="n"/>
      <c r="Q244" s="446" t="n">
        <v>0</v>
      </c>
      <c r="R244" s="446" t="n">
        <v>0</v>
      </c>
      <c r="S244" s="446" t="n">
        <v>0</v>
      </c>
      <c r="T244" s="450" t="inlineStr">
        <is>
          <t>3年</t>
        </is>
      </c>
      <c r="U244" s="450" t="inlineStr">
        <is>
          <t>6个月</t>
        </is>
      </c>
      <c r="V244" s="450" t="inlineStr">
        <is>
          <t>环境设计</t>
        </is>
      </c>
      <c r="W244" s="451" t="n">
        <v>45444</v>
      </c>
      <c r="X244" s="446" t="inlineStr">
        <is>
          <t>本科</t>
        </is>
      </c>
      <c r="Y244" s="452" t="inlineStr">
        <is>
          <t>578847516@qq.com</t>
        </is>
      </c>
      <c r="Z244" s="453" t="inlineStr">
        <is>
          <t>甘肃省金昌市金川区金水里金冠花园2栋2单元207号</t>
        </is>
      </c>
      <c r="AA244" s="532" t="inlineStr">
        <is>
          <t>上海市长宁区新泾镇协和小区12号楼601室</t>
        </is>
      </c>
      <c r="AB244" s="446" t="n">
        <v>18974549239</v>
      </c>
      <c r="AC244" s="514" t="inlineStr">
        <is>
          <t>620302200101190626</t>
        </is>
      </c>
      <c r="AD244" s="575" t="inlineStr">
        <is>
          <t>6217001180094989236</t>
        </is>
      </c>
      <c r="AE244" s="554" t="inlineStr">
        <is>
          <t>中国建设银行上海西郊支行</t>
        </is>
      </c>
      <c r="AF244" s="554" t="n"/>
      <c r="AG244" s="554" t="inlineStr">
        <is>
          <t>是</t>
        </is>
      </c>
      <c r="AH244" s="576" t="inlineStr">
        <is>
          <t>第一次合同：3年
2026/3/18-2029/3/17</t>
        </is>
      </c>
      <c r="AI244" s="230">
        <f>DATEDIF(--TEXT(MID(AC244,7,8),"0-00-00"),TODAY(),"y")</f>
        <v/>
      </c>
      <c r="AJ244" s="577">
        <f>TEXT(MID(AC244,7,8),"0000-00-00")</f>
        <v/>
      </c>
      <c r="AK244" s="237">
        <f>CHOOSE(MONTH(AJ244),1,1,1,2,2,2,3,3,3,4,4,4)</f>
        <v/>
      </c>
    </row>
    <row r="245" s="558">
      <c r="B245" s="264" t="inlineStr">
        <is>
          <t>刘义民-大陆</t>
        </is>
      </c>
      <c r="C245" s="532" t="inlineStr">
        <is>
          <t>南京文石</t>
        </is>
      </c>
      <c r="D245" s="264" t="inlineStr">
        <is>
          <t>男</t>
        </is>
      </c>
      <c r="E245" s="532">
        <f>14000</f>
        <v/>
      </c>
      <c r="F245" s="266" t="inlineStr">
        <is>
          <t>14K，签订3年合同，试用期6个月，前3个月打9折【注意：经HR争取特殊情况走特批，申请了前3个月打9折；基础薪资：2500，社保补贴：2300，公积金补贴：600，绩效和外派津贴各占50%（4300）】</t>
        </is>
      </c>
      <c r="G245" s="267" t="inlineStr">
        <is>
          <t>电子签-南京文石
员工已签署闭环
材料齐全</t>
        </is>
      </c>
      <c r="H245" s="264" t="inlineStr">
        <is>
          <t>软件测试工程师（通讯方向）</t>
        </is>
      </c>
      <c r="I245" s="269" t="n">
        <v>46106</v>
      </c>
      <c r="J245" s="547" t="inlineStr">
        <is>
          <t>/</t>
        </is>
      </c>
      <c r="K245" s="269" t="n">
        <v>46288</v>
      </c>
      <c r="L245" s="534" t="n">
        <v>46113</v>
      </c>
      <c r="M245" s="264" t="inlineStr">
        <is>
          <t>南京</t>
        </is>
      </c>
      <c r="N245" s="264" t="inlineStr">
        <is>
          <t>南京</t>
        </is>
      </c>
      <c r="Q245" s="264" t="n">
        <v>0</v>
      </c>
      <c r="R245" s="264" t="n">
        <v>0</v>
      </c>
      <c r="S245" s="264" t="n">
        <v>0</v>
      </c>
      <c r="T245" s="270" t="inlineStr">
        <is>
          <t>3年</t>
        </is>
      </c>
      <c r="U245" s="270" t="inlineStr">
        <is>
          <t>6个月</t>
        </is>
      </c>
      <c r="V245" s="270" t="inlineStr">
        <is>
          <t>软件技术</t>
        </is>
      </c>
      <c r="W245" s="340" t="n">
        <v>45474</v>
      </c>
      <c r="X245" s="264" t="inlineStr">
        <is>
          <t>专科</t>
        </is>
      </c>
      <c r="Y245" s="445" t="inlineStr">
        <is>
          <t>78474381@qq.com</t>
        </is>
      </c>
      <c r="Z245" s="414" t="inlineStr">
        <is>
          <t>河南省南阳市卧龙区谢庄乡掘地坪1组</t>
        </is>
      </c>
      <c r="AA245" s="532" t="inlineStr">
        <is>
          <t>江苏省南京市栖霞区尧化街道尧顺路峯汇里轻奢坊公寓</t>
        </is>
      </c>
      <c r="AB245" s="264" t="n">
        <v>13525126968</v>
      </c>
      <c r="AC245" s="496" t="inlineStr">
        <is>
          <t>411303200302260211</t>
        </is>
      </c>
      <c r="AD245" s="546" t="inlineStr">
        <is>
          <t>6215340302616819576</t>
        </is>
      </c>
      <c r="AE245" s="532" t="inlineStr">
        <is>
          <t>中国建设银行股份有限公司如皋高新区支行</t>
        </is>
      </c>
      <c r="AG245" s="532" t="inlineStr">
        <is>
          <t>是</t>
        </is>
      </c>
      <c r="AH245" s="547" t="inlineStr">
        <is>
          <t>第一次合同：3年
2026/3/25-2029/3/24</t>
        </is>
      </c>
      <c r="AI245" s="82">
        <f>DATEDIF(--TEXT(MID(AC245,7,8),"0-00-00"),TODAY(),"y")</f>
        <v/>
      </c>
      <c r="AJ245" s="548">
        <f>TEXT(MID(AC245,7,8),"0000-00-00")</f>
        <v/>
      </c>
      <c r="AK245" s="95">
        <f>CHOOSE(MONTH(AJ245),1,1,1,2,2,2,3,3,3,4,4,4)</f>
        <v/>
      </c>
    </row>
    <row r="246" s="558">
      <c r="B246" s="266" t="inlineStr">
        <is>
          <t>刘泽恒-维他
2026年4月1日lastday个人离职</t>
        </is>
      </c>
      <c r="C246" s="532" t="inlineStr">
        <is>
          <t>北京文石</t>
        </is>
      </c>
      <c r="D246" s="264" t="inlineStr">
        <is>
          <t>男</t>
        </is>
      </c>
      <c r="E246" s="532">
        <f>16500</f>
        <v/>
      </c>
      <c r="F246" s="266" t="inlineStr">
        <is>
          <t>工资：16.5K,签订3年合同，试用期6个月，前3个月8折（基本薪资：2420，绩效：5440，外派津贴：5440，社保补贴：2500，公积金补贴：700）到岗时间：2026年3月25日</t>
        </is>
      </c>
      <c r="G246" s="267" t="inlineStr">
        <is>
          <t>电子签-北京文石
员工已签署闭环
材料齐全</t>
        </is>
      </c>
      <c r="H246" s="264" t="inlineStr">
        <is>
          <t>机器人测试工程师</t>
        </is>
      </c>
      <c r="I246" s="269" t="n">
        <v>46106</v>
      </c>
      <c r="J246" s="547" t="inlineStr">
        <is>
          <t>2026年4月1日lastday个人离职
26.3.27日事假一天</t>
        </is>
      </c>
      <c r="K246" s="269" t="n">
        <v>46288</v>
      </c>
      <c r="L246" s="534" t="n">
        <v>46113</v>
      </c>
      <c r="M246" s="264" t="inlineStr">
        <is>
          <t>北京</t>
        </is>
      </c>
      <c r="N246" s="264" t="inlineStr">
        <is>
          <t>北京</t>
        </is>
      </c>
      <c r="Q246" s="264" t="n">
        <v>0</v>
      </c>
      <c r="R246" s="264" t="n">
        <v>0</v>
      </c>
      <c r="S246" s="264" t="n">
        <v>0</v>
      </c>
      <c r="T246" s="270" t="inlineStr">
        <is>
          <t>3年</t>
        </is>
      </c>
      <c r="U246" s="270" t="inlineStr">
        <is>
          <t>6个月</t>
        </is>
      </c>
      <c r="V246" s="270" t="inlineStr">
        <is>
          <t>电气工程及其自动化</t>
        </is>
      </c>
      <c r="W246" s="340" t="n">
        <v>42917</v>
      </c>
      <c r="X246" s="264" t="inlineStr">
        <is>
          <t>本科</t>
        </is>
      </c>
      <c r="Y246" s="445" t="inlineStr">
        <is>
          <t>18330208804@163.com</t>
        </is>
      </c>
      <c r="Z246" s="414" t="inlineStr">
        <is>
          <t>河北省石家庄市深泽县留村乡西南留村乡西南留村大桥街北街241号</t>
        </is>
      </c>
      <c r="AA246" s="532" t="inlineStr">
        <is>
          <t>北京市昌平区龙禧园云趣园二区7号楼二单元601</t>
        </is>
      </c>
      <c r="AB246" s="264" t="n">
        <v>18330208804</v>
      </c>
      <c r="AC246" s="496" t="inlineStr">
        <is>
          <t>130128199402271818</t>
        </is>
      </c>
      <c r="AD246" s="546" t="inlineStr">
        <is>
          <t>6217000140014738908</t>
        </is>
      </c>
      <c r="AE246" s="532" t="inlineStr">
        <is>
          <t>中国建设银行保定东风中路支行</t>
        </is>
      </c>
      <c r="AG246" s="532" t="inlineStr">
        <is>
          <t>是</t>
        </is>
      </c>
      <c r="AH246" s="547" t="inlineStr">
        <is>
          <t>第一次合同：3年
2026/3/25-2029/3/24</t>
        </is>
      </c>
      <c r="AI246" s="82">
        <f>DATEDIF(--TEXT(MID(AC246,7,8),"0-00-00"),TODAY(),"y")</f>
        <v/>
      </c>
      <c r="AJ246" s="548">
        <f>TEXT(MID(AC246,7,8),"0000-00-00")</f>
        <v/>
      </c>
      <c r="AK246" s="95">
        <f>CHOOSE(MONTH(AJ246),1,1,1,2,2,2,3,3,3,4,4,4)</f>
        <v/>
      </c>
    </row>
    <row r="247" s="558">
      <c r="B247" s="264" t="inlineStr">
        <is>
          <t>李民慧-维他</t>
        </is>
      </c>
      <c r="C247" s="532" t="inlineStr">
        <is>
          <t>北京文石</t>
        </is>
      </c>
      <c r="D247" s="532" t="inlineStr">
        <is>
          <t>女</t>
        </is>
      </c>
      <c r="E247" s="532" t="n">
        <v>15000</v>
      </c>
      <c r="F247" s="541" t="inlineStr">
        <is>
          <t>工资：15K，签订3年合同，试用期6个月前3个月8折（基本薪资：2420，社保补贴：2100，公积金补贴：600，绩效：4940，外派津贴：4940）
到岗时间：2026年3月26日</t>
        </is>
      </c>
      <c r="G247" s="267" t="inlineStr">
        <is>
          <t>电子签-北京文石
员工已签署闭环
材料齐全</t>
        </is>
      </c>
      <c r="H247" s="532" t="inlineStr">
        <is>
          <t>机器人测试工程师</t>
        </is>
      </c>
      <c r="I247" s="346" t="n">
        <v>46107</v>
      </c>
      <c r="J247" s="533" t="inlineStr">
        <is>
          <t>/</t>
        </is>
      </c>
      <c r="K247" s="269" t="n">
        <v>46290</v>
      </c>
      <c r="L247" s="534" t="n">
        <v>46113</v>
      </c>
      <c r="M247" s="264" t="inlineStr">
        <is>
          <t>北京</t>
        </is>
      </c>
      <c r="N247" s="264" t="inlineStr">
        <is>
          <t>北京</t>
        </is>
      </c>
      <c r="O247" s="532">
        <f>Q247*0.8</f>
        <v/>
      </c>
      <c r="P247" s="532" t="n">
        <v>15000</v>
      </c>
      <c r="Q247" s="264" t="n">
        <v>0</v>
      </c>
      <c r="R247" s="264" t="n">
        <v>0</v>
      </c>
      <c r="S247" s="264" t="n">
        <v>0</v>
      </c>
      <c r="T247" s="270" t="inlineStr">
        <is>
          <t>3年</t>
        </is>
      </c>
      <c r="U247" s="270" t="inlineStr">
        <is>
          <t>6个月</t>
        </is>
      </c>
      <c r="V247" s="270" t="inlineStr">
        <is>
          <t>计算机科学与技术</t>
        </is>
      </c>
      <c r="W247" s="340" t="n">
        <v>44013</v>
      </c>
      <c r="X247" s="264" t="inlineStr">
        <is>
          <t>民办本科</t>
        </is>
      </c>
      <c r="Y247" s="458" t="inlineStr">
        <is>
          <t>2367531592@qq.com</t>
        </is>
      </c>
      <c r="Z247" s="264" t="inlineStr">
        <is>
          <t>河南省商丘市梁园区谢集镇彭庄村118号</t>
        </is>
      </c>
      <c r="AA247" s="532" t="inlineStr">
        <is>
          <t>北京市东城区建国门街道干面胡同24号
base地是：北京市海淀区宝盛南路1号院奥北科技园20号楼3层308</t>
        </is>
      </c>
      <c r="AB247" s="264" t="n">
        <v>17611612821</v>
      </c>
      <c r="AC247" s="496" t="inlineStr">
        <is>
          <t>411402199708217620</t>
        </is>
      </c>
      <c r="AD247" s="459" t="inlineStr">
        <is>
          <t>；6230940010003021309</t>
        </is>
      </c>
      <c r="AE247" s="532" t="inlineStr">
        <is>
          <t>中国建设银行北京朝内南小街支行</t>
        </is>
      </c>
      <c r="AG247" s="532" t="inlineStr">
        <is>
          <t>是</t>
        </is>
      </c>
      <c r="AH247" s="547" t="inlineStr">
        <is>
          <t>第一次合同：3年
2026/3/26-2029/3/25</t>
        </is>
      </c>
      <c r="AI247" s="82">
        <f>DATEDIF(--TEXT(MID(AC247,7,8),"0-00-00"),TODAY(),"y")</f>
        <v/>
      </c>
      <c r="AJ247" s="548">
        <f>TEXT(MID(AC247,7,8),"0000-00-00")</f>
        <v/>
      </c>
      <c r="AK247" s="95">
        <f>CHOOSE(MONTH(AJ247),1,1,1,2,2,2,3,3,3,4,4,4)</f>
        <v/>
      </c>
    </row>
    <row r="248" s="558">
      <c r="B248" s="264" t="inlineStr">
        <is>
          <t>王恒如</t>
        </is>
      </c>
      <c r="C248" s="532" t="inlineStr">
        <is>
          <t>上海文石</t>
        </is>
      </c>
      <c r="D248" s="532" t="inlineStr">
        <is>
          <t>男</t>
        </is>
      </c>
      <c r="E248" s="532">
        <f>15000</f>
        <v/>
      </c>
      <c r="F248" s="266" t="inlineStr">
        <is>
          <t>工资：15K,签订3年合同，试用期6个月，前3个月9折【杨永成内推，基础薪资：2600，社保补贴：2000，公积金补贴：600，绩效：4900，外派津贴：4900】</t>
        </is>
      </c>
      <c r="G248" s="267" t="inlineStr">
        <is>
          <t>电子签-上海文石
员工已签署闭环
材料齐全</t>
        </is>
      </c>
      <c r="H248" s="264" t="inlineStr">
        <is>
          <t>实车测试工程师</t>
        </is>
      </c>
      <c r="I248" s="269" t="n">
        <v>46111</v>
      </c>
      <c r="J248" s="547" t="inlineStr">
        <is>
          <t>/</t>
        </is>
      </c>
      <c r="K248" s="269" t="n">
        <v>46294</v>
      </c>
      <c r="L248" s="534" t="n">
        <v>46113</v>
      </c>
      <c r="M248" s="264" t="inlineStr">
        <is>
          <t>上海安亭</t>
        </is>
      </c>
      <c r="N248" s="264" t="inlineStr">
        <is>
          <t>上海安亭</t>
        </is>
      </c>
      <c r="O248" s="532">
        <f>Q248*0.9</f>
        <v/>
      </c>
      <c r="P248" s="532" t="n">
        <v>15000</v>
      </c>
      <c r="Q248" s="264" t="n">
        <v>0</v>
      </c>
      <c r="R248" s="264" t="n">
        <v>0</v>
      </c>
      <c r="S248" s="264" t="n">
        <v>0</v>
      </c>
      <c r="T248" s="270" t="inlineStr">
        <is>
          <t>3年</t>
        </is>
      </c>
      <c r="U248" s="270" t="inlineStr">
        <is>
          <t>6个月</t>
        </is>
      </c>
      <c r="V248" s="270" t="inlineStr">
        <is>
          <t xml:space="preserve"> 人力资源管理</t>
        </is>
      </c>
      <c r="W248" s="340" t="n">
        <v>45809</v>
      </c>
      <c r="X248" s="264" t="inlineStr">
        <is>
          <t>本科</t>
        </is>
      </c>
      <c r="Y248" s="445" t="inlineStr">
        <is>
          <t>Wanghengru97@163.com</t>
        </is>
      </c>
      <c r="Z248" s="414" t="inlineStr">
        <is>
          <t>安徽省合肥市肥东县牌坊回族满族乡许井村余后组</t>
        </is>
      </c>
      <c r="AA248" s="532" t="inlineStr">
        <is>
          <t>苏州昆山智慧广场2号楼1单元</t>
        </is>
      </c>
      <c r="AB248" s="264" t="inlineStr">
        <is>
          <t>，15311564870</t>
        </is>
      </c>
      <c r="AC248" s="496" t="inlineStr">
        <is>
          <t>340123199702050037</t>
        </is>
      </c>
      <c r="AD248" s="532" t="inlineStr">
        <is>
          <t>;6217001640008837904</t>
        </is>
      </c>
      <c r="AE248" s="532" t="inlineStr">
        <is>
          <t>中国建设银行蚌埠龙湖支行</t>
        </is>
      </c>
      <c r="AG248" s="532" t="inlineStr">
        <is>
          <t>是</t>
        </is>
      </c>
      <c r="AH248" s="547" t="inlineStr">
        <is>
          <t>第一次合同：3年
2026/3/30-2029/3/29</t>
        </is>
      </c>
      <c r="AI248" s="82">
        <f>DATEDIF(--TEXT(MID(AC248,7,8),"0-00-00"),TODAY(),"y")</f>
        <v/>
      </c>
      <c r="AJ248" s="548">
        <f>TEXT(MID(AC248,7,8),"0000-00-00")</f>
        <v/>
      </c>
      <c r="AK248" s="95">
        <f>CHOOSE(MONTH(AJ248),1,1,1,2,2,2,3,3,3,4,4,4)</f>
        <v/>
      </c>
    </row>
    <row r="249" s="558">
      <c r="B249" s="532" t="inlineStr">
        <is>
          <t>刘瀚林</t>
        </is>
      </c>
      <c r="C249" s="532" t="inlineStr">
        <is>
          <t>上海文石</t>
        </is>
      </c>
      <c r="D249" s="532" t="inlineStr">
        <is>
          <t>男</t>
        </is>
      </c>
      <c r="E249" s="532" t="n">
        <v>20000</v>
      </c>
      <c r="F249" s="541" t="inlineStr">
        <is>
          <t>工资：20K,签订3年合同，试用期6个月，前3个月8折（基本薪资：2600，绩效：6750，外派津贴：6750，社保补贴：3300，公积金补贴：600）
到岗时间：2026年3月30日</t>
        </is>
      </c>
      <c r="G249" s="267" t="inlineStr">
        <is>
          <t>电子签-上海文石-缺体检报告
员工已签署闭环
材料齐全</t>
        </is>
      </c>
      <c r="H249" s="532" t="inlineStr">
        <is>
          <t>地平线-实车测试工程师</t>
        </is>
      </c>
      <c r="I249" s="269" t="n">
        <v>46111</v>
      </c>
      <c r="J249" s="533" t="inlineStr">
        <is>
          <t>/</t>
        </is>
      </c>
      <c r="K249" s="269" t="n">
        <v>46294</v>
      </c>
      <c r="L249" s="534" t="n">
        <v>46113</v>
      </c>
      <c r="M249" s="532" t="inlineStr">
        <is>
          <t>上海</t>
        </is>
      </c>
      <c r="N249" s="532" t="inlineStr">
        <is>
          <t>上海</t>
        </is>
      </c>
      <c r="O249" s="532" t="n">
        <v>16000</v>
      </c>
      <c r="P249" s="532" t="n">
        <v>20000</v>
      </c>
      <c r="Q249" s="264" t="n">
        <v>0</v>
      </c>
      <c r="R249" s="264" t="n">
        <v>0</v>
      </c>
      <c r="S249" s="264" t="n">
        <v>0</v>
      </c>
      <c r="T249" s="270" t="inlineStr">
        <is>
          <t>3年</t>
        </is>
      </c>
      <c r="U249" s="270" t="inlineStr">
        <is>
          <t>6个月</t>
        </is>
      </c>
      <c r="V249" s="532" t="inlineStr">
        <is>
          <t>软件工程</t>
        </is>
      </c>
      <c r="W249" s="340" t="n">
        <v>43647</v>
      </c>
      <c r="X249" s="264" t="inlineStr">
        <is>
          <t>本科</t>
        </is>
      </c>
      <c r="Y249" s="460" t="inlineStr">
        <is>
          <t>hanlin_l@foxmail.com</t>
        </is>
      </c>
      <c r="Z249" s="532" t="inlineStr">
        <is>
          <t>山西省临猗县孙吉镇蔡高村三组</t>
        </is>
      </c>
      <c r="AA249" s="532" t="inlineStr">
        <is>
          <t>上海市嘉定区安亭镇兰棠景苑13号1303</t>
        </is>
      </c>
      <c r="AB249" s="12" t="n">
        <v>15735184093</v>
      </c>
      <c r="AC249" s="546" t="inlineStr">
        <is>
          <t>142724199609152710</t>
        </is>
      </c>
      <c r="AD249" s="532" t="inlineStr">
        <is>
          <t>;6217000260005382712</t>
        </is>
      </c>
      <c r="AE249" s="532" t="inlineStr">
        <is>
          <t>中国建设银行股份有限公司太原学府街支行</t>
        </is>
      </c>
      <c r="AG249" s="532" t="inlineStr">
        <is>
          <t>是</t>
        </is>
      </c>
      <c r="AH249" s="547" t="inlineStr">
        <is>
          <t>第一次合同：3年
2026/3/30-2029/3/29</t>
        </is>
      </c>
      <c r="AI249" s="82">
        <f>DATEDIF(--TEXT(MID(AC249,7,8),"0-00-00"),TODAY(),"y")</f>
        <v/>
      </c>
      <c r="AJ249" s="548">
        <f>TEXT(MID(AC249,7,8),"0000-00-00")</f>
        <v/>
      </c>
      <c r="AK249" s="95">
        <f>CHOOSE(MONTH(AJ249),1,1,1,2,2,2,3,3,3,4,4,4)</f>
        <v/>
      </c>
    </row>
    <row r="250" s="558">
      <c r="B250" s="532" t="inlineStr">
        <is>
          <t>李家奇</t>
        </is>
      </c>
      <c r="C250" s="532" t="inlineStr">
        <is>
          <t>上海文石</t>
        </is>
      </c>
      <c r="D250" s="532" t="inlineStr">
        <is>
          <t>男</t>
        </is>
      </c>
      <c r="E250" s="532">
        <f>18000</f>
        <v/>
      </c>
      <c r="F250" s="541" t="inlineStr">
        <is>
          <t>工资：offer薪资：15300，社保补贴：2070，公积金补贴：630，五险一金最低【社保：7460，公积金：2690*5%   注意：社保公积金补贴以五险一金缴纳时间为准发放】
签订半年合同，试用期1个月，试用期前1个月薪资8折（offer薪资8折），后5个月正常转正薪资
到岗时间：2026年4月01日
前1个月，在项报酬为:基本工资2600元/月，绩效工资4820元/月，外派津贴4820元/月，社保补贴2070元/月，公积金补贴630元/月，合计14940元/月。
第2个月起，在项报酬为:基本工资2600元/月，绩效工资6350元/月，外派津贴6350元/月，社保补贴2070元/月，公积金补贴630元/月，合计18000元/月。</t>
        </is>
      </c>
      <c r="G250" s="267" t="inlineStr">
        <is>
          <t>电子签-上海文石
员工已签署闭环
材料齐全</t>
        </is>
      </c>
      <c r="H250" s="532" t="inlineStr">
        <is>
          <t>BI开发工程师</t>
        </is>
      </c>
      <c r="I250" s="269" t="n">
        <v>46113</v>
      </c>
      <c r="J250" s="533" t="inlineStr">
        <is>
          <t>/</t>
        </is>
      </c>
      <c r="K250" s="269" t="n">
        <v>46294</v>
      </c>
      <c r="L250" s="534" t="n">
        <v>46113</v>
      </c>
      <c r="M250" s="532" t="inlineStr">
        <is>
          <t>上海</t>
        </is>
      </c>
      <c r="N250" s="532" t="inlineStr">
        <is>
          <t>上海</t>
        </is>
      </c>
      <c r="O250" s="532" t="n">
        <v>14400</v>
      </c>
      <c r="P250" s="532" t="n">
        <v>18000</v>
      </c>
      <c r="Q250" s="264" t="n">
        <v>0</v>
      </c>
      <c r="R250" s="264" t="n">
        <v>0</v>
      </c>
      <c r="S250" s="264" t="n">
        <v>0</v>
      </c>
      <c r="T250" s="270" t="inlineStr">
        <is>
          <t>3年</t>
        </is>
      </c>
      <c r="U250" s="270" t="inlineStr">
        <is>
          <t>6个月</t>
        </is>
      </c>
      <c r="V250" s="532" t="inlineStr">
        <is>
          <t xml:space="preserve"> 软件技术</t>
        </is>
      </c>
      <c r="W250" s="340" t="n">
        <v>44013</v>
      </c>
      <c r="X250" s="532" t="inlineStr">
        <is>
          <t>大专</t>
        </is>
      </c>
      <c r="Y250" s="555" t="inlineStr">
        <is>
          <t>1514199864@qq.com</t>
        </is>
      </c>
      <c r="Z250" s="532" t="inlineStr">
        <is>
          <t>黑龙江省七台河市新兴区东风街道十五委1组74号</t>
        </is>
      </c>
      <c r="AA250" s="532" t="inlineStr">
        <is>
          <t>上海市浦东新区浦电路307号605室</t>
        </is>
      </c>
      <c r="AB250" s="82" t="n">
        <v>15561989320</v>
      </c>
      <c r="AC250" s="532" t="inlineStr">
        <is>
          <t>；230902199910260318</t>
        </is>
      </c>
      <c r="AD250" s="532" t="inlineStr">
        <is>
          <t>；6217 0010 0000 7727 731</t>
        </is>
      </c>
      <c r="AE250" s="532" t="inlineStr">
        <is>
          <t>中国建设银行宁安通江支行</t>
        </is>
      </c>
      <c r="AG250" s="532" t="inlineStr">
        <is>
          <t>是</t>
        </is>
      </c>
      <c r="AH250" s="547" t="inlineStr">
        <is>
          <t>第一次合同：0.5年----半年左右
2026/4/1-2026/10/1</t>
        </is>
      </c>
      <c r="AI250">
        <f>DATEDIF(--TEXT(MID(AC250,7,8),"0-00-00"),TODAY(),"y")</f>
        <v/>
      </c>
      <c r="AJ250">
        <f>TEXT(MID(AC250,7,8),"0000-00-00")</f>
        <v/>
      </c>
      <c r="AK250">
        <f>CHOOSE(MONTH(AJ250),1,1,1,2,2,2,3,3,3,4,4,4)</f>
        <v/>
      </c>
    </row>
    <row r="251" s="558">
      <c r="B251" s="541" t="inlineStr">
        <is>
          <t>刘遥遥
2026年5月13日lastday</t>
        </is>
      </c>
      <c r="C251" s="532" t="inlineStr">
        <is>
          <t>南京文石</t>
        </is>
      </c>
      <c r="D251" s="268" t="inlineStr">
        <is>
          <t>男</t>
        </is>
      </c>
      <c r="E251" s="532" t="n">
        <v>19000</v>
      </c>
      <c r="F251" s="541" t="inlineStr">
        <is>
          <t>工资：offer薪资15700（基本薪资：2500，绩效：6600，外派津贴：6600）+社保补贴2650+公积金补贴650【五险一金最低，社保4952，公积金2660*5%；5月开始缴纳社保公积金，社保公积金补贴从5月开始发放】，签订3年合同，试用期6个月，试用期前3个月8折，如5月开始缴纳五险一金，后续offer薪资+社保+公积金补贴总体8折 
到岗时间：2026年4月20日</t>
        </is>
      </c>
      <c r="G251" s="267" t="inlineStr">
        <is>
          <t>电子签-南京文石-创达推荐
员工已签署闭环
材料齐全</t>
        </is>
      </c>
      <c r="H251" s="532" t="inlineStr">
        <is>
          <t>后端工程师</t>
        </is>
      </c>
      <c r="I251" s="269" t="n">
        <v>46132</v>
      </c>
      <c r="J251" s="547" t="inlineStr">
        <is>
          <t>2026年5月13日lastday
因为父亲住院个人离职
刘遥遥：智能驾驶系统产品线-数据与工具链开发部-可视化与标注平台-后端工程师-南京 ，lastday2026年5月13日今天，离职流程已走完~
1、5月（4.25-5.13）考勤确认如下：请假4.5天：4.27 4.28 5.6  5.12下午 5.13，其他考勤正常，钉钉正常打卡，漏卡的已补卡
2、无相关报销费用
3、无结余调休数据</t>
        </is>
      </c>
      <c r="K251" s="269" t="n">
        <v>46314</v>
      </c>
      <c r="L251" s="534" t="n">
        <v>46143</v>
      </c>
      <c r="M251" s="532" t="inlineStr">
        <is>
          <t>南京</t>
        </is>
      </c>
      <c r="N251" s="532" t="inlineStr">
        <is>
          <t>南京</t>
        </is>
      </c>
      <c r="O251" s="532" t="n">
        <v>15200</v>
      </c>
      <c r="P251" s="532" t="n">
        <v>19000</v>
      </c>
      <c r="Q251" s="264" t="n">
        <v>0</v>
      </c>
      <c r="R251" s="264" t="n">
        <v>0</v>
      </c>
      <c r="S251" s="264" t="n">
        <v>0</v>
      </c>
      <c r="T251" s="270" t="inlineStr">
        <is>
          <t>3年</t>
        </is>
      </c>
      <c r="U251" s="270" t="inlineStr">
        <is>
          <t>6个月</t>
        </is>
      </c>
      <c r="V251" s="270" t="inlineStr">
        <is>
          <t>计算机</t>
        </is>
      </c>
      <c r="W251" s="270" t="inlineStr">
        <is>
          <t>2022年06</t>
        </is>
      </c>
      <c r="X251" s="270" t="inlineStr">
        <is>
          <t>本科</t>
        </is>
      </c>
      <c r="Y251" s="270" t="inlineStr">
        <is>
          <t xml:space="preserve">18262461222@163.com </t>
        </is>
      </c>
      <c r="Z251" s="532" t="inlineStr">
        <is>
          <t>江苏丰县宋楼镇费楼村5组294号</t>
        </is>
      </c>
      <c r="AA251" s="532" t="inlineStr">
        <is>
          <t>小猪居居-微酒店 南京栖霞区学津路与文苑路交叉路口</t>
        </is>
      </c>
      <c r="AB251" s="270" t="inlineStr">
        <is>
          <t>‘18262461222</t>
        </is>
      </c>
      <c r="AC251" s="270" t="inlineStr">
        <is>
          <t>’320321200512094813</t>
        </is>
      </c>
      <c r="AD251" s="270" t="inlineStr">
        <is>
          <t>‘6217000010198707054</t>
        </is>
      </c>
      <c r="AE251" s="532" t="inlineStr">
        <is>
          <t>中国建设银行北京上地信息路支行</t>
        </is>
      </c>
      <c r="AG251" s="532" t="inlineStr">
        <is>
          <t>是</t>
        </is>
      </c>
      <c r="AH251" s="547" t="inlineStr">
        <is>
          <t>第一次合同：3年
2026/4/20-2029/4/19</t>
        </is>
      </c>
      <c r="AI251">
        <f>DATEDIF(--TEXT(MID(AC251,7,8),"0-00-00"),TODAY(),"y")</f>
        <v/>
      </c>
      <c r="AJ251">
        <f>TEXT(MID(AC251,7,8),"0000-00-00")</f>
        <v/>
      </c>
      <c r="AK251">
        <f>CHOOSE(MONTH(AJ251),1,1,1,2,2,2,3,3,3,4,4,4)</f>
        <v/>
      </c>
    </row>
    <row r="252" ht="144" customHeight="1" s="558">
      <c r="B252" s="532" t="inlineStr">
        <is>
          <t>王家明</t>
        </is>
      </c>
      <c r="C252" s="532" t="inlineStr">
        <is>
          <t>上海文石</t>
        </is>
      </c>
      <c r="D252" s="270" t="inlineStr">
        <is>
          <t>男</t>
        </is>
      </c>
      <c r="E252" s="532">
        <f>15700+2150</f>
        <v/>
      </c>
      <c r="F252" s="541" t="inlineStr">
        <is>
          <t>工资：offer薪资15700（基本薪资：2600，绩效：6550，外派津贴：6550）＋社保补贴2150 【社保补贴从入职开始发放，签订3年合同，试用期6个月，前3个月8折；试用期前3个月8折，是offer薪资基础上8折：15700*80%+2150=14710元；低保实金：（社保基数：7460，公积金基数：15700*5%）】
 到岗时间：2026年4月22日（周三）</t>
        </is>
      </c>
      <c r="G252" s="267" t="inlineStr">
        <is>
          <t>电子签-上海文石
员工已签署闭环
材料齐全</t>
        </is>
      </c>
      <c r="H252" s="268" t="inlineStr">
        <is>
          <t>电子pcb焊接工程师</t>
        </is>
      </c>
      <c r="I252" s="269" t="n">
        <v>46134</v>
      </c>
      <c r="J252" s="533" t="inlineStr">
        <is>
          <t>/</t>
        </is>
      </c>
      <c r="K252" s="269" t="n">
        <v>46316</v>
      </c>
      <c r="L252" s="534" t="n">
        <v>46143</v>
      </c>
      <c r="M252" s="270" t="inlineStr">
        <is>
          <t>上海</t>
        </is>
      </c>
      <c r="N252" s="270" t="inlineStr">
        <is>
          <t>上海</t>
        </is>
      </c>
      <c r="O252" s="532" t="n">
        <v>14710</v>
      </c>
      <c r="P252" s="532" t="n">
        <v>17850</v>
      </c>
      <c r="Q252" s="270" t="n">
        <v>0</v>
      </c>
      <c r="R252" s="270" t="n">
        <v>0</v>
      </c>
      <c r="S252" s="270" t="n">
        <v>0</v>
      </c>
      <c r="T252" s="270" t="inlineStr">
        <is>
          <t>三年</t>
        </is>
      </c>
      <c r="U252" s="270" t="inlineStr">
        <is>
          <t>6个月</t>
        </is>
      </c>
      <c r="V252" s="461" t="inlineStr">
        <is>
          <t>机电一体化</t>
        </is>
      </c>
      <c r="W252" s="270" t="n">
        <v>2009.06</v>
      </c>
      <c r="X252" s="270" t="inlineStr">
        <is>
          <t>大专</t>
        </is>
      </c>
      <c r="Y252" s="462" t="inlineStr">
        <is>
          <t>17756605208@163.com</t>
        </is>
      </c>
      <c r="Z252" s="532" t="inlineStr">
        <is>
          <t>江西省九江市彭泽县杨梓镇双彭村下王组499号</t>
        </is>
      </c>
      <c r="AA252" s="532" t="inlineStr">
        <is>
          <t>上海市浦东新区孙环路366弄申城佳苑三期B块36号楼1001</t>
        </is>
      </c>
      <c r="AB252" s="270" t="inlineStr">
        <is>
          <t>‘17756605208</t>
        </is>
      </c>
      <c r="AC252" s="270" t="inlineStr">
        <is>
          <t>’360430198707222319</t>
        </is>
      </c>
      <c r="AD252" s="270" t="inlineStr">
        <is>
          <t>‘6217001210023631052</t>
        </is>
      </c>
      <c r="AE252" s="12" t="inlineStr">
        <is>
          <t>中国建设银行上海高科路支行</t>
        </is>
      </c>
      <c r="AG252" s="532" t="inlineStr">
        <is>
          <t>是</t>
        </is>
      </c>
      <c r="AH252" s="547" t="inlineStr">
        <is>
          <t>第一次合同：3年
2026/4/22-2029/4/21</t>
        </is>
      </c>
      <c r="AI252">
        <f>DATEDIF(--TEXT(MID(AC252,7,8),"0-00-00"),TODAY(),"y")</f>
        <v/>
      </c>
      <c r="AJ252">
        <f>TEXT(MID(AC252,7,8),"0000-00-00")</f>
        <v/>
      </c>
      <c r="AK252">
        <f>CHOOSE(MONTH(AJ252),1,1,1,2,2,2,3,3,3,4,4,4)</f>
        <v/>
      </c>
    </row>
    <row r="253" s="558">
      <c r="B253" s="268" t="inlineStr">
        <is>
          <t>朱灵敏</t>
        </is>
      </c>
      <c r="C253" s="532" t="inlineStr">
        <is>
          <t>上海文石</t>
        </is>
      </c>
      <c r="D253" s="532" t="inlineStr">
        <is>
          <t>男</t>
        </is>
      </c>
      <c r="E253" s="532" t="n">
        <v>13000</v>
      </c>
      <c r="F253" s="541" t="inlineStr">
        <is>
          <t>薪资13K（基础薪资：2600，社保补贴1500、公积金补贴600，绩效和外派津贴各占50%（4150））
签订3年合同，试用期6个月，前3个月打八折
到岗时间：2026年5月6日
前3个月，在项报酬为:基本工资2600元/月，绩效工资2850元/月，外派津贴2850元/月，社保补贴1500元/月，公积金补贴600元/月，合计10400元/月。
第4个月起，在项报酬为:基本工资2600元/月，绩效工资4150元/月，外派津贴4150元/月,社保补贴1500元/月,公积金补贴600元/月，合计13000元/月。</t>
        </is>
      </c>
      <c r="G253" s="267" t="inlineStr">
        <is>
          <t>电子签-上海文石-莉萍招聘
员工已签署闭环
材料齐全</t>
        </is>
      </c>
      <c r="H253" s="268" t="inlineStr">
        <is>
          <t>智能驾驶标定工程师</t>
        </is>
      </c>
      <c r="I253" s="269" t="n">
        <v>46148</v>
      </c>
      <c r="J253" s="533" t="inlineStr">
        <is>
          <t>/</t>
        </is>
      </c>
      <c r="K253" s="269" t="n">
        <v>46331</v>
      </c>
      <c r="L253" s="534" t="n">
        <v>46143</v>
      </c>
      <c r="M253" s="270" t="inlineStr">
        <is>
          <t>上海</t>
        </is>
      </c>
      <c r="N253" s="270" t="inlineStr">
        <is>
          <t>上海</t>
        </is>
      </c>
      <c r="Q253" s="270" t="n">
        <v>0</v>
      </c>
      <c r="R253" s="270" t="n">
        <v>0</v>
      </c>
      <c r="S253" s="270" t="n">
        <v>0</v>
      </c>
      <c r="T253" s="270" t="inlineStr">
        <is>
          <t>三年</t>
        </is>
      </c>
      <c r="U253" s="270" t="inlineStr">
        <is>
          <t>6个月</t>
        </is>
      </c>
      <c r="V253" s="463" t="inlineStr">
        <is>
          <t>电气自动化</t>
        </is>
      </c>
      <c r="W253" s="270" t="n">
        <v>2023.07</v>
      </c>
      <c r="X253" s="270" t="inlineStr">
        <is>
          <t>大专</t>
        </is>
      </c>
      <c r="Y253" s="464" t="inlineStr">
        <is>
          <t>zl13234089814@163.com</t>
        </is>
      </c>
      <c r="Z253" s="541" t="inlineStr">
        <is>
          <t>河南省商水县袁老乡朱屯村五组408 号</t>
        </is>
      </c>
      <c r="AA253" s="532" t="inlineStr">
        <is>
          <t>上海市浦东新区张东路2281弄1-145号玉兰香苑4期19号楼</t>
        </is>
      </c>
      <c r="AB253" s="270" t="inlineStr">
        <is>
          <t>‘16639081784</t>
        </is>
      </c>
      <c r="AC253" s="270" t="inlineStr">
        <is>
          <t>’412723200003157415</t>
        </is>
      </c>
      <c r="AD253" s="270" t="inlineStr">
        <is>
          <t>‘6217000780068318733</t>
        </is>
      </c>
      <c r="AE253" s="532" t="inlineStr">
        <is>
          <t>中国建设银行大连高新技术产业园支行</t>
        </is>
      </c>
      <c r="AG253" s="532" t="inlineStr">
        <is>
          <t>是</t>
        </is>
      </c>
      <c r="AH253" s="547" t="inlineStr">
        <is>
          <t>第一次合同：3年
2026/5/6-2029/5/5</t>
        </is>
      </c>
      <c r="AI253">
        <f>DATEDIF(--TEXT(MID(AC253,7,8),"0-00-00"),TODAY(),"y")</f>
        <v/>
      </c>
      <c r="AJ253">
        <f>TEXT(MID(AC253,7,8),"0000-00-00")</f>
        <v/>
      </c>
      <c r="AK253">
        <f>CHOOSE(MONTH(AJ253),1,1,1,2,2,2,3,3,3,4,4,4)</f>
        <v/>
      </c>
    </row>
    <row r="254" customFormat="1" s="554">
      <c r="A254" s="230" t="n"/>
      <c r="B254" s="448" t="inlineStr">
        <is>
          <t>谢鑫伟
入职就离职
工资不发了，就当没这个人</t>
        </is>
      </c>
      <c r="C254" s="554" t="inlineStr">
        <is>
          <t>南京文石</t>
        </is>
      </c>
      <c r="D254" s="554" t="inlineStr">
        <is>
          <t>男</t>
        </is>
      </c>
      <c r="E254" s="554" t="n">
        <v>16000</v>
      </c>
      <c r="F254" s="562" t="inlineStr">
        <is>
          <t>合同签文石莉萍招的不是挂靠。工资：16000，（基本工资2500，绩效工资3500，外派津贴3500，社保补贴2800，公积金补贴700，固定加班费补贴3000）
签订三年合同，试用期6个月，前3个月打八折
到岗时间：2026年5月11日</t>
        </is>
      </c>
      <c r="G254" s="448" t="inlineStr">
        <is>
          <t>电子签-南京文石
员工已签署闭环
材料齐全</t>
        </is>
      </c>
      <c r="H254" s="465" t="inlineStr">
        <is>
          <t>后端开发工程师</t>
        </is>
      </c>
      <c r="I254" s="449" t="n">
        <v>46153</v>
      </c>
      <c r="J254" s="576" t="inlineStr">
        <is>
          <t xml:space="preserve">2026/5/13晚上欺骗公司说自己弟弟打架要开庭，具体离职时间待定
你于2026年5月11日入职我司，试用期间，你于5月13日以“家庭突发变故需紧急回老家”为由口头提出离职，计划当天即刻赶回老家不予正常走离职流程，HR沟通劝阻后并希望当天完成交接后离岗。
</t>
        </is>
      </c>
      <c r="K254" s="449" t="n">
        <v>46336</v>
      </c>
      <c r="L254" s="573" t="n">
        <v>46143</v>
      </c>
      <c r="M254" s="450" t="inlineStr">
        <is>
          <t>南京</t>
        </is>
      </c>
      <c r="N254" s="450" t="inlineStr">
        <is>
          <t>南京</t>
        </is>
      </c>
      <c r="O254" s="554" t="n"/>
      <c r="P254" s="554" t="n"/>
      <c r="Q254" s="450" t="n">
        <v>0</v>
      </c>
      <c r="R254" s="450" t="n">
        <v>0</v>
      </c>
      <c r="S254" s="450" t="n">
        <v>0</v>
      </c>
      <c r="T254" s="450" t="inlineStr">
        <is>
          <t>三年</t>
        </is>
      </c>
      <c r="U254" s="450" t="inlineStr">
        <is>
          <t>6个月</t>
        </is>
      </c>
      <c r="V254" s="466" t="inlineStr">
        <is>
          <t>计算机科学与技术</t>
        </is>
      </c>
      <c r="W254" s="450" t="n">
        <v>2022.06</v>
      </c>
      <c r="X254" s="450" t="inlineStr">
        <is>
          <t>本科</t>
        </is>
      </c>
      <c r="Y254" s="467" t="inlineStr">
        <is>
          <t>19270785954@163.com</t>
        </is>
      </c>
      <c r="Z254" s="562" t="inlineStr">
        <is>
          <t xml:space="preserve"> 山东省曹县磐石街道办事处郝庄行政村郝庄6号</t>
        </is>
      </c>
      <c r="AA254" s="554" t="inlineStr">
        <is>
          <t>南京栖霞万象天地华荟公寓3号楼2032房</t>
        </is>
      </c>
      <c r="AB254" s="450" t="n">
        <v>19270785954</v>
      </c>
      <c r="AC254" s="450" t="inlineStr">
        <is>
          <t>‘371721200506140352</t>
        </is>
      </c>
      <c r="AD254" s="450" t="inlineStr">
        <is>
          <t>’6217002300037102023</t>
        </is>
      </c>
      <c r="AE254" s="554" t="inlineStr">
        <is>
          <t>中国建设银行曹县支行</t>
        </is>
      </c>
      <c r="AF254" s="554" t="n"/>
      <c r="AG254" s="554" t="inlineStr">
        <is>
          <t>是</t>
        </is>
      </c>
      <c r="AH254" s="576" t="inlineStr">
        <is>
          <t>第一次合同：3年
2026/5/11-2029/5/10</t>
        </is>
      </c>
      <c r="AI254" s="230">
        <f>DATEDIF(--TEXT(MID(AC254,7,8),"0-00-00"),TODAY(),"y")</f>
        <v/>
      </c>
      <c r="AJ254">
        <f>TEXT(MID(AC254,7,8),"0000-00-00")</f>
        <v/>
      </c>
      <c r="AK254">
        <f>CHOOSE(MONTH(AJ254),1,1,1,2,2,2,3,3,3,4,4,4)</f>
        <v/>
      </c>
    </row>
    <row r="255" s="558">
      <c r="B255" s="267" t="inlineStr">
        <is>
          <t xml:space="preserve">刘俊杰-大陆lastday2026年6月2日
</t>
        </is>
      </c>
      <c r="C255" s="626" t="inlineStr">
        <is>
          <t>南京文石合同
保定社保找谁</t>
        </is>
      </c>
      <c r="D255" s="532" t="inlineStr">
        <is>
          <t>男</t>
        </is>
      </c>
      <c r="E255" s="532">
        <f>12000</f>
        <v/>
      </c>
      <c r="F255" s="541" t="inlineStr">
        <is>
          <t>照坤招聘名额，大陆，工资：12K，签订3年合同，试用期6个月前3个月8折（基本薪资：2500，社保补贴：1800，公积金补贴：500，固定加班费：2200，绩效：2500，外派津贴：2500）
到岗时间：2026年5月11日
前3个月，在项报酬为：基本工资2500元/月，绩效工资1300元/月，外派津贴1300元/月，固定加班费补贴2200元/月，社保补贴1800元/月, 公积金补贴500元/月, 合计9600元/月。
第4个月起，在项报酬为：基本工资2500元/月，绩效工资2500元/月，外派津贴2500元/月，固定加班费补贴2200元/月，社保补贴1800元/月, 公积金补贴500元/月, 合计12000元/月。</t>
        </is>
      </c>
      <c r="G255" s="267" t="inlineStr">
        <is>
          <t>电子签-南京文石
员工已签署闭环
材料齐全</t>
        </is>
      </c>
      <c r="H255" s="268" t="inlineStr">
        <is>
          <t>现场技术支持FAE工程师</t>
        </is>
      </c>
      <c r="I255" s="269" t="n">
        <v>46153</v>
      </c>
      <c r="J255" s="547" t="inlineStr">
        <is>
          <t>提出个人不适应离职，lastday2026年6月2日
大陆-保定-现场技术支持FAE lastday 2026年6月2日， 离职交接已完成~
1、6.5正常发放4.25-5.24薪资（注意❗️❗️其中19号钉钉调休，但并未在飞书及时申请，现调整为19号事假，扣除一天薪资）
2、5.25-5.26正常上下班打卡，考勤正常；5.27下班未打卡，补卡申请已审批通过；5.28正常上下班打卡；7.5审核发放5.25-6.2薪资
3、因个人觉得流程繁琐，餐补+打车共200多费用不进行相应的报销事宜，已确认
4、系统剩余3天调休，5.29，6.1，6.2调休申请审批通过；结余为0
罗姐6.2下午正常发起退场须知</t>
        </is>
      </c>
      <c r="K255" s="269" t="n">
        <v>46336</v>
      </c>
      <c r="L255" s="588" t="n">
        <v>46143</v>
      </c>
      <c r="M255" s="288" t="inlineStr">
        <is>
          <t>保定</t>
        </is>
      </c>
      <c r="N255" s="288" t="inlineStr">
        <is>
          <t>保定</t>
        </is>
      </c>
      <c r="O255" s="532" t="inlineStr">
        <is>
          <t>/</t>
        </is>
      </c>
      <c r="P255" s="532" t="inlineStr">
        <is>
          <t>/</t>
        </is>
      </c>
      <c r="Q255" s="270" t="n">
        <v>0</v>
      </c>
      <c r="R255" s="270" t="n">
        <v>0</v>
      </c>
      <c r="S255" s="270" t="n">
        <v>0</v>
      </c>
      <c r="T255" s="270" t="inlineStr">
        <is>
          <t>三年</t>
        </is>
      </c>
      <c r="U255" s="270" t="inlineStr">
        <is>
          <t>6个月</t>
        </is>
      </c>
      <c r="V255" s="463" t="inlineStr">
        <is>
          <t>软件技术</t>
        </is>
      </c>
      <c r="W255" s="270" t="n">
        <v>2024.06</v>
      </c>
      <c r="X255" s="270" t="inlineStr">
        <is>
          <t>统招专科</t>
        </is>
      </c>
      <c r="Y255" s="464" t="inlineStr">
        <is>
          <t>altliu0113@163.com</t>
        </is>
      </c>
      <c r="Z255" s="541" t="inlineStr">
        <is>
          <t>河南省淮阳县郑集乡刘新庄016号</t>
        </is>
      </c>
      <c r="AA255" s="541" t="inlineStr">
        <is>
          <t>酒店地址不对：保定爱情广场长城技术中心华驿精选酒店 320
最终同步的地址：河北省保定市莲池区南二环与朝阳南大街交叉口西行800米路北(河北农业大学以南)维多利亚上院</t>
        </is>
      </c>
      <c r="AB255" s="270" t="n">
        <v>17374033601</v>
      </c>
      <c r="AC255" s="515" t="inlineStr">
        <is>
          <t>411626200301138012</t>
        </is>
      </c>
      <c r="AD255" s="468" t="inlineStr">
        <is>
          <t>6217 0001 4005 5513 137
银行卡待定哈人选还没确认</t>
        </is>
      </c>
      <c r="AE255" s="532" t="inlineStr">
        <is>
          <t>中国建设银行保定恒祥北大街支行</t>
        </is>
      </c>
      <c r="AG255" s="532" t="inlineStr">
        <is>
          <t>是</t>
        </is>
      </c>
      <c r="AH255" s="547" t="inlineStr">
        <is>
          <t>第一次合同：3年
2026/5/11-2029/5/10</t>
        </is>
      </c>
      <c r="AI255">
        <f>DATEDIF(--TEXT(MID(AC255,7,8),"0-00-00"),TODAY(),"y")</f>
        <v/>
      </c>
      <c r="AJ255">
        <f>TEXT(MID(AC255,7,8),"0000-00-00")</f>
        <v/>
      </c>
      <c r="AK255">
        <f>CHOOSE(MONTH(AJ255),1,1,1,2,2,2,3,3,3,4,4,4)</f>
        <v/>
      </c>
    </row>
    <row r="256" ht="125" customHeight="1" s="558">
      <c r="B256" s="264" t="inlineStr">
        <is>
          <t>王鑫鹏-大陆</t>
        </is>
      </c>
      <c r="C256" s="626" t="inlineStr">
        <is>
          <t>南京文石合同
慈溪社保找谁
着急参保！！暂定邦芒咯</t>
        </is>
      </c>
      <c r="D256" s="532" t="inlineStr">
        <is>
          <t>男</t>
        </is>
      </c>
      <c r="E256" s="532" t="n">
        <v>9690</v>
      </c>
      <c r="F256" s="541" t="inlineStr">
        <is>
          <t xml:space="preserve">大陆项目-TS推荐-(TS没有对应宁波慈溪合同主体所以需要签订文石合同)
功能FAE-王鑫鹏-offer薪资:8700【基本薪资：2500，固定加班费补贴：1600，绩效：2300，外派津贴：2300】+社保补贴:990【社保补贴5月份薪资周期开始发放，五险 一金（社保最低：4986，公积金：8700*5%）邦芒最终是公积金8700*8%】 签订3年合同，试用期6个月，试用期前3个月offer薪资8折 
到岗时间:2026年5月13日 
前3个月，在项报酬为：基本工资2500元/月，绩效工资1430元/月，外派津贴1430元/月，固定加班费补贴1600元/月，社保补贴990元/月, 合计7950元/月。
第4个月起，在项报酬为：基本工资2500元/月，绩效工资2300元/月，外派津贴2300元/月，固定加班费补贴1600元/月，社保补贴990元/月,合计9690元/月。
</t>
        </is>
      </c>
      <c r="G256" s="267" t="inlineStr">
        <is>
          <t>电子签-南京文石
员工已签署闭环
材料齐全</t>
        </is>
      </c>
      <c r="H256" s="532" t="inlineStr">
        <is>
          <t>功能FAE工程师</t>
        </is>
      </c>
      <c r="I256" s="346" t="n">
        <v>46155</v>
      </c>
      <c r="K256" s="269" t="n">
        <v>46338</v>
      </c>
      <c r="L256" s="588" t="n">
        <v>46143</v>
      </c>
      <c r="M256" s="281" t="inlineStr">
        <is>
          <t>慈溪</t>
        </is>
      </c>
      <c r="N256" s="281" t="inlineStr">
        <is>
          <t>慈溪</t>
        </is>
      </c>
      <c r="Q256" s="532" t="n">
        <v>0</v>
      </c>
      <c r="R256" s="532" t="n">
        <v>0</v>
      </c>
      <c r="S256" s="532" t="n">
        <v>0</v>
      </c>
      <c r="T256" s="270" t="inlineStr">
        <is>
          <t>三年</t>
        </is>
      </c>
      <c r="U256" s="541" t="inlineStr">
        <is>
          <t>6个月</t>
        </is>
      </c>
      <c r="V256" s="270" t="inlineStr">
        <is>
          <t>网络工程</t>
        </is>
      </c>
      <c r="W256" s="268" t="n">
        <v>2025.6</v>
      </c>
      <c r="X256" s="264" t="inlineStr">
        <is>
          <t>统招本科</t>
        </is>
      </c>
      <c r="Y256" s="469" t="inlineStr">
        <is>
          <t>15324488069@163.com</t>
        </is>
      </c>
      <c r="Z256" s="266" t="inlineStr">
        <is>
          <t>安徽省合肥市瑶海区铜陵路街道花冲社居委花冲人才苑鹏程楼2幢104室</t>
        </is>
      </c>
      <c r="AA256" s="532" t="inlineStr">
        <is>
          <t xml:space="preserve"> 浙江省宁波市慈溪市杭州湾新区天荟苑</t>
        </is>
      </c>
      <c r="AB256" s="470" t="n">
        <v>15324488069</v>
      </c>
      <c r="AC256" s="496" t="inlineStr">
        <is>
          <t>340102200304301017</t>
        </is>
      </c>
      <c r="AD256" s="471" t="inlineStr">
        <is>
          <t>6217001630077962824</t>
        </is>
      </c>
      <c r="AE256" s="532" t="inlineStr">
        <is>
          <t>中国建设银行</t>
        </is>
      </c>
      <c r="AG256" s="532" t="inlineStr">
        <is>
          <t>是</t>
        </is>
      </c>
      <c r="AH256" s="547" t="inlineStr">
        <is>
          <t>第一次合同：3年
2026/5/13-2029/5/12</t>
        </is>
      </c>
      <c r="AI256">
        <f>DATEDIF(--TEXT(MID(AC256,7,8),"0-00-00"),TODAY(),"y")</f>
        <v/>
      </c>
      <c r="AJ256">
        <f>TEXT(MID(AC256,7,8),"0000-00-00")</f>
        <v/>
      </c>
      <c r="AK256">
        <f>CHOOSE(MONTH(AJ256),1,1,1,2,2,2,3,3,3,4,4,4)</f>
        <v/>
      </c>
    </row>
    <row r="257" customFormat="1" s="532">
      <c r="A257" s="82" t="n"/>
      <c r="B257" s="532" t="inlineStr">
        <is>
          <t>朱江</t>
        </is>
      </c>
      <c r="C257" s="532" t="inlineStr">
        <is>
          <t>上海文石</t>
        </is>
      </c>
      <c r="D257" s="532" t="inlineStr">
        <is>
          <t>男</t>
        </is>
      </c>
      <c r="E257" s="532" t="n">
        <v>14490</v>
      </c>
      <c r="F257" s="541" t="inlineStr">
        <is>
          <t xml:space="preserve">工资：低保实金方案：offer薪资：13000【基本薪资：2600，固定加班费补贴：2400，绩效：4000，外派津贴：4000】+社保补贴：1490【社保补贴6月份薪资周期开始发放，五险一金（社保基数：7460，公积金基数：13000*5%）】
签订3年合同，试用期6个月，试用期前3个月offer薪资8折
到岗时间：2026年5月18日【拿到毕业证可切回创达工作，在此期间先签订文石这边的合同，安排入职工作，人选希望能够尽快收到offer】
前1个月，    在项报酬为:基本工资2600元/月，绩效工资2700元/月，外派津贴2700元/月，固定加班费补贴2400元/月，社保补贴0元/月，合计10400元/月；
前2/3个月，在项报酬为:基本工资2600元/月，绩效工资2700元/月，外派津贴2700元/月，固定加班费补贴2400元/月，社保补贴1490元/月，合计11890元/月；
第4个月起，在项报酬为:基本工资2600元/月，绩效工资4000元/月，外派津贴4000元/月，固定加班费补贴2400元/月，社保补贴1490元/月，合计14490元/月。
【社保补贴以五险一金实际缴纳月周期开始发放】
</t>
        </is>
      </c>
      <c r="G257" s="541" t="inlineStr">
        <is>
          <t xml:space="preserve">地平线项目，客户推荐的。
电子签-上海文石
员工已签署闭环
材料齐全
</t>
        </is>
      </c>
      <c r="H257" s="532" t="inlineStr">
        <is>
          <t xml:space="preserve">车辆运营专员 </t>
        </is>
      </c>
      <c r="I257" s="346" t="n">
        <v>46160</v>
      </c>
      <c r="J257" s="533" t="n"/>
      <c r="K257" s="269" t="n">
        <v>46343</v>
      </c>
      <c r="L257" s="534" t="n">
        <v>46174</v>
      </c>
      <c r="M257" s="270" t="inlineStr">
        <is>
          <t>上海</t>
        </is>
      </c>
      <c r="N257" s="270" t="inlineStr">
        <is>
          <t>上海</t>
        </is>
      </c>
      <c r="O257" s="532" t="n"/>
      <c r="P257" s="532" t="n"/>
      <c r="Q257" s="532" t="n">
        <v>0</v>
      </c>
      <c r="R257" s="532" t="n">
        <v>0</v>
      </c>
      <c r="S257" s="532" t="n">
        <v>0</v>
      </c>
      <c r="T257" s="270" t="inlineStr">
        <is>
          <t>三年</t>
        </is>
      </c>
      <c r="U257" s="541" t="inlineStr">
        <is>
          <t>6个月</t>
        </is>
      </c>
      <c r="V257" s="532" t="inlineStr">
        <is>
          <t>焊接技术应用</t>
        </is>
      </c>
      <c r="W257" s="533" t="n">
        <v>41334</v>
      </c>
      <c r="X257" s="532" t="inlineStr">
        <is>
          <t>中专</t>
        </is>
      </c>
      <c r="Y257" s="555" t="inlineStr">
        <is>
          <t>2501844046@qq.com</t>
        </is>
      </c>
      <c r="Z257" s="532" t="inlineStr">
        <is>
          <t>河北省邯郸市邯山区华信路28号2号楼3单元9号</t>
        </is>
      </c>
      <c r="AA257" s="532" t="inlineStr">
        <is>
          <t>上海市嘉定区春荣路800弄35号楼501室</t>
        </is>
      </c>
      <c r="AB257" s="82" t="n">
        <v>18701847943</v>
      </c>
      <c r="AC257" s="532" t="inlineStr">
        <is>
          <t>;130406199410220912</t>
        </is>
      </c>
      <c r="AD257" s="532" t="inlineStr">
        <is>
          <t>;6217001180064635801</t>
        </is>
      </c>
      <c r="AE257" s="532" t="inlineStr">
        <is>
          <t>中国建设银行黄渡支行</t>
        </is>
      </c>
      <c r="AF257" s="532" t="n"/>
      <c r="AG257" s="532" t="inlineStr">
        <is>
          <t>是</t>
        </is>
      </c>
      <c r="AH257" s="547" t="inlineStr">
        <is>
          <t>第一次合同：3年
2026/5/18-2029/5/17</t>
        </is>
      </c>
      <c r="AI257" s="82">
        <f>DATEDIF(--TEXT(MID(AC257,7,8),"0-00-00"),TODAY(),"y")</f>
        <v/>
      </c>
      <c r="AJ257">
        <f>TEXT(MID(AC257,7,8),"0000-00-00")</f>
        <v/>
      </c>
      <c r="AK257">
        <f>CHOOSE(MONTH(AJ257),1,1,1,2,2,2,3,3,3,4,4,4)</f>
        <v/>
      </c>
    </row>
    <row r="258" s="558">
      <c r="B258" s="541" t="inlineStr">
        <is>
          <t>岳亮
地平线正岗实习生不缴五险一金</t>
        </is>
      </c>
      <c r="C258" s="532" t="inlineStr">
        <is>
          <t>南京文石</t>
        </is>
      </c>
      <c r="D258" s="532" t="inlineStr">
        <is>
          <t>男</t>
        </is>
      </c>
      <c r="E258" s="532" t="n">
        <v>10000</v>
      </c>
      <c r="F258" s="541" t="inlineStr">
        <is>
          <t>岳亮BASE上海张江算法预研部工程师
地平线正式员工,客户推荐，没有拿到博士证,所以暂时签订文石兼职合同，不缴纳五险一金,拿到毕业证转回地平线，工资：1W,到岗时间：2026.5.21</t>
        </is>
      </c>
      <c r="G258" s="267" t="inlineStr">
        <is>
          <t>电子签-南京文石兼职协议
员工已签署闭环
材料齐全</t>
        </is>
      </c>
      <c r="H258" s="532" t="inlineStr">
        <is>
          <t xml:space="preserve">算法预研部工程师 </t>
        </is>
      </c>
      <c r="I258" s="346" t="n">
        <v>46163</v>
      </c>
      <c r="K258" s="269" t="n">
        <v>46174</v>
      </c>
      <c r="L258" s="534" t="n">
        <v>46174</v>
      </c>
      <c r="M258" s="270" t="inlineStr">
        <is>
          <t>上海</t>
        </is>
      </c>
      <c r="N258" s="270" t="inlineStr">
        <is>
          <t>上海</t>
        </is>
      </c>
      <c r="Q258" s="532" t="n">
        <v>0</v>
      </c>
      <c r="R258" s="532" t="n">
        <v>0</v>
      </c>
      <c r="S258" s="532" t="n">
        <v>0</v>
      </c>
      <c r="T258" s="270" t="inlineStr">
        <is>
          <t>三年</t>
        </is>
      </c>
      <c r="U258" s="541" t="inlineStr">
        <is>
          <t>6个月</t>
        </is>
      </c>
      <c r="V258" s="532" t="inlineStr">
        <is>
          <t>计算机科学技术</t>
        </is>
      </c>
      <c r="W258" s="533" t="n">
        <v>45809</v>
      </c>
      <c r="X258" s="532" t="inlineStr">
        <is>
          <t>硕士</t>
        </is>
      </c>
      <c r="Y258" s="555" t="inlineStr">
        <is>
          <t>yueliang200024@gmail.com</t>
        </is>
      </c>
      <c r="Z258" s="532" t="inlineStr">
        <is>
          <t xml:space="preserve"> 北京市西城区民丰胡同31号</t>
        </is>
      </c>
      <c r="AA258" s="532" t="inlineStr">
        <is>
          <t>上海市张江镇星创广场1号楼</t>
        </is>
      </c>
      <c r="AB258" s="82" t="n">
        <v>17801014228</v>
      </c>
      <c r="AC258" s="532" t="inlineStr">
        <is>
          <t>;110102200002040015</t>
        </is>
      </c>
      <c r="AD258" s="532" t="inlineStr">
        <is>
          <t>;6217001180097862901</t>
        </is>
      </c>
      <c r="AE258" s="532" t="inlineStr">
        <is>
          <t>中国建设银行</t>
        </is>
      </c>
      <c r="AG258" s="532" t="inlineStr">
        <is>
          <t>是</t>
        </is>
      </c>
      <c r="AH258" s="547" t="inlineStr">
        <is>
          <t>兼职合同
2026/5/21-随时结束</t>
        </is>
      </c>
      <c r="AI258">
        <f>DATEDIF(--TEXT(MID(AC258,7,8),"0-00-00"),TODAY(),"y")</f>
        <v/>
      </c>
      <c r="AJ258">
        <f>TEXT(MID(AC258,7,8),"0000-00-00")</f>
        <v/>
      </c>
      <c r="AK258">
        <f>CHOOSE(MONTH(AJ258),1,1,1,2,2,2,3,3,3,4,4,4)</f>
        <v/>
      </c>
    </row>
    <row r="259" s="558">
      <c r="B259" s="472" t="inlineStr">
        <is>
          <t>骆小龙
-梦珂红西瓜</t>
        </is>
      </c>
      <c r="C259" s="532" t="inlineStr">
        <is>
          <t>上海文石</t>
        </is>
      </c>
      <c r="D259" s="532" t="inlineStr">
        <is>
          <t>男</t>
        </is>
      </c>
      <c r="E259" s="532" t="n">
        <v>14970</v>
      </c>
      <c r="F259" s="541" t="inlineStr">
        <is>
          <t>红西瓜-骆小龙创达HR罗劲松推
骆小龙薪资沟通和入职时间沟通完成，因脱敏且薪资模式不接受低薪实缴签订文石合同，3个月后可切回创达；人选离职状态，希望能够尽快收到offer ，年假：转回创达从0计算；转回创达签订3年合同，试用期6个月，不打折  offer薪资：13400+社保补贴：1570【社保补贴6月份薪资周期开始发放，五险一金（社保基数：7460，公积金基数：13400*5%文石实打实承担）】 签订3年合同，试用期6个月，试用期前3个月offer薪资8折 
2026年5月25日到岗
前3个月，在项报酬为:基本工资:2600元/月，绩效工资:2810元/月，外派津贴:2810元/月，固定加班费补贴2500 元/月,社保补贴1570元/月,合计12290元/月。
第4个月起，在项报酬为:基本工资2600元/月，绩效工资:4150元/月，外派津贴:4150元/月，固定加班费补贴2500 元/月,社保补贴1570元/月,合计14970元/月。</t>
        </is>
      </c>
      <c r="G259" s="541" t="inlineStr">
        <is>
          <t>红西瓜项目，客户推荐的。
电子签-上海文石
员工已签署闭环
材料齐全-差建行卡</t>
        </is>
      </c>
      <c r="H259" s="532" t="inlineStr">
        <is>
          <t>原型平台维护工程师</t>
        </is>
      </c>
      <c r="I259" s="248" t="n">
        <v>46167</v>
      </c>
      <c r="J259" s="533" t="inlineStr">
        <is>
          <t>/</t>
        </is>
      </c>
      <c r="K259" s="533" t="inlineStr">
        <is>
          <t>/</t>
        </is>
      </c>
      <c r="L259" s="534" t="inlineStr">
        <is>
          <t>/</t>
        </is>
      </c>
      <c r="M259" s="473" t="inlineStr">
        <is>
          <t>上海</t>
        </is>
      </c>
      <c r="N259" s="473" t="inlineStr">
        <is>
          <t>上海</t>
        </is>
      </c>
      <c r="O259" s="532" t="inlineStr">
        <is>
          <t>/</t>
        </is>
      </c>
      <c r="P259" s="532" t="inlineStr">
        <is>
          <t>/</t>
        </is>
      </c>
      <c r="Q259" s="532" t="n">
        <v>0</v>
      </c>
      <c r="R259" s="532" t="n">
        <v>0</v>
      </c>
      <c r="S259" s="532" t="n">
        <v>0</v>
      </c>
      <c r="T259" s="347" t="inlineStr">
        <is>
          <t>/</t>
        </is>
      </c>
      <c r="U259" s="541" t="inlineStr">
        <is>
          <t>6个月</t>
        </is>
      </c>
      <c r="V259" s="474" t="inlineStr">
        <is>
          <t>机器人工程</t>
        </is>
      </c>
      <c r="W259" s="475" t="n">
        <v>2023.7</v>
      </c>
      <c r="X259" s="472" t="inlineStr">
        <is>
          <t>统招本科</t>
        </is>
      </c>
      <c r="Y259" s="476" t="inlineStr">
        <is>
          <t xml:space="preserve">2431222864@qq.com </t>
        </is>
      </c>
      <c r="Z259" s="472" t="inlineStr">
        <is>
          <t>河南省潢川县江家集镇叶桥村沈营组</t>
        </is>
      </c>
      <c r="AA259" s="477" t="inlineStr">
        <is>
          <t>上海市浦东新区张江镇 益江路 396 弄玉兰香苑二期 C 块 13 号楼 201</t>
        </is>
      </c>
      <c r="AB259" s="478" t="n">
        <v>17630941072</v>
      </c>
      <c r="AC259" s="473" t="inlineStr">
        <is>
          <t xml:space="preserve">41152620001124513X </t>
        </is>
      </c>
      <c r="AD259" s="471" t="inlineStr">
        <is>
          <t>6217 0011 8009 7833 282</t>
        </is>
      </c>
      <c r="AE259" s="541" t="inlineStr">
        <is>
          <t>中国建设银行上海高科路支行</t>
        </is>
      </c>
      <c r="AG259" s="532" t="inlineStr">
        <is>
          <t>是</t>
        </is>
      </c>
      <c r="AH259" s="547" t="inlineStr">
        <is>
          <t>第一次合同：3年
2026/5/25-2029/5/24</t>
        </is>
      </c>
      <c r="AI259">
        <f>DATEDIF(--TEXT(MID(AC259,7,8),"0-00-00"),TODAY(),"y")</f>
        <v/>
      </c>
      <c r="AJ259">
        <f>TEXT(MID(AC259,7,8),"0000-00-00")</f>
        <v/>
      </c>
      <c r="AK259">
        <f>CHOOSE(MONTH(AJ259),1,1,1,2,2,2,3,3,3,4,4,4)</f>
        <v/>
      </c>
    </row>
    <row r="260" s="558">
      <c r="B260" s="532" t="inlineStr">
        <is>
          <t>贾劲</t>
        </is>
      </c>
      <c r="C260" s="532" t="inlineStr">
        <is>
          <t>上海文石</t>
        </is>
      </c>
      <c r="D260" s="532" t="inlineStr">
        <is>
          <t>男</t>
        </is>
      </c>
      <c r="E260" s="532" t="n">
        <v>14010</v>
      </c>
      <c r="F260" s="541" t="inlineStr">
        <is>
          <t>创达HR菡蕾推 ，贾劲因脱敏3个月后可切回创达工作（社保基数：7460，公积金基数：12600*5%）】文石实打实承担
工资：低保实金方案：offer薪资：12600【基本薪资：2600，加班费补贴：2300，绩效：3850，外派津贴：3850】+社保补贴：1410【社保补贴6月份薪资周期开始发放，五险一金
签订3年合同，试用期6个月，试用期前3个月offer薪资8折
因6月份薪资周期（7.5发放5.25-6.24，到岗时间5.27，所以社保补贴入职开始发放）
试用期前3个月offer薪资8折：12600*80%+1410=11490元
到岗时间：2026年5月27日
年假：转回创达从0计算，转回3年合同，试用期6个月，不打折
前3个月，在项报酬为：基本薪资：2600元/月，绩效工资：2590元/月，外派津贴：2590元/月，固定加班费补贴：2300元/月，社保补贴：1410元/月，合计11490元/月。
第4个月起，在项报酬为：基本薪资：2600元/月，绩效工资：3850元/月，外派津贴：3850元/月，固定加班费补贴：2300元/月，社保补贴：1410元/月，合计14010元/月。</t>
        </is>
      </c>
      <c r="G260" s="541" t="inlineStr">
        <is>
          <t xml:space="preserve">地平线项目，客户推荐的。
电子签-上海文石
员工已签署闭环
材料齐全
</t>
        </is>
      </c>
      <c r="H260" s="532" t="inlineStr">
        <is>
          <t>自动驾驶测试开发工程师（HMI）</t>
        </is>
      </c>
      <c r="I260" s="248" t="n">
        <v>46169</v>
      </c>
      <c r="J260" s="533" t="inlineStr">
        <is>
          <t>/</t>
        </is>
      </c>
      <c r="K260" s="533" t="inlineStr">
        <is>
          <t>/</t>
        </is>
      </c>
      <c r="L260" s="534" t="inlineStr">
        <is>
          <t>/</t>
        </is>
      </c>
      <c r="M260" s="473" t="inlineStr">
        <is>
          <t>上海</t>
        </is>
      </c>
      <c r="N260" s="473" t="inlineStr">
        <is>
          <t>上海</t>
        </is>
      </c>
      <c r="O260" s="532" t="inlineStr">
        <is>
          <t>/</t>
        </is>
      </c>
      <c r="P260" s="532" t="inlineStr">
        <is>
          <t>/</t>
        </is>
      </c>
      <c r="Q260" s="532" t="n">
        <v>0</v>
      </c>
      <c r="R260" s="532" t="n">
        <v>0</v>
      </c>
      <c r="S260" s="532" t="n">
        <v>0</v>
      </c>
      <c r="T260" s="347" t="inlineStr">
        <is>
          <t>/</t>
        </is>
      </c>
      <c r="U260" s="541" t="inlineStr">
        <is>
          <t>6个月</t>
        </is>
      </c>
      <c r="V260" s="474" t="inlineStr">
        <is>
          <t>环境设计</t>
        </is>
      </c>
      <c r="W260" s="475" t="n">
        <v>2023.7</v>
      </c>
      <c r="X260" s="473" t="inlineStr">
        <is>
          <t>统招本科</t>
        </is>
      </c>
      <c r="Y260" s="479" t="inlineStr">
        <is>
          <t>13462974705@163.com</t>
        </is>
      </c>
      <c r="Z260" s="472" t="inlineStr">
        <is>
          <t xml:space="preserve"> 河南省商丘市民权县人和镇内黄东村</t>
        </is>
      </c>
      <c r="AA260" s="477" t="inlineStr">
        <is>
          <t xml:space="preserve"> 上海市浦东新区金葵新城东区30号楼501</t>
        </is>
      </c>
      <c r="AB260" s="478" t="n">
        <v>13462974705</v>
      </c>
      <c r="AC260" s="516" t="inlineStr">
        <is>
          <t>411421199711302833</t>
        </is>
      </c>
      <c r="AD260" s="471" t="inlineStr">
        <is>
          <t>6215340301712297182</t>
        </is>
      </c>
      <c r="AE260" s="541" t="inlineStr">
        <is>
          <t>中国建设银行上海金杨支行</t>
        </is>
      </c>
      <c r="AG260" s="532" t="inlineStr">
        <is>
          <t>是</t>
        </is>
      </c>
      <c r="AH260" s="547" t="inlineStr">
        <is>
          <t>第一次合同：3年
2026/5/27-2029/5/26</t>
        </is>
      </c>
      <c r="AI260">
        <f>DATEDIF(--TEXT(MID(AC260,7,8),"0-00-00"),TODAY(),"y")</f>
        <v/>
      </c>
      <c r="AJ260">
        <f>TEXT(MID(AC260,7,8),"0000-00-00")</f>
        <v/>
      </c>
      <c r="AK260">
        <f>CHOOSE(MONTH(AJ260),1,1,1,2,2,2,3,3,3,4,4,4)</f>
        <v/>
      </c>
    </row>
    <row r="261" s="558">
      <c r="B261" s="473" t="inlineStr">
        <is>
          <t>李鑫</t>
        </is>
      </c>
      <c r="C261" s="532" t="inlineStr">
        <is>
          <t>北京文石</t>
        </is>
      </c>
      <c r="D261" s="532" t="inlineStr">
        <is>
          <t>女</t>
        </is>
      </c>
      <c r="E261" s="532" t="n">
        <v>24000</v>
      </c>
      <c r="F261" s="541" t="inlineStr">
        <is>
          <t>offer薪资19700【基本薪资：2600，固定加班费补贴：3600，绩效：6750，外派津贴：6750】+社保补贴3450+公积金补贴850【社保公积金补贴入职开始正常发放，五险一金（北京五险一金最低标准：社保7162，公积金3000*5%，）】
签订3年合同，试用期6个月，试用期前3个月offer薪资8折 ：19700*80%=15760元+社保补贴3450+公积金补贴850
到岗时间：2026年6月1日
前3个月，在项报酬为：基本薪资：2600元/月，绩效工资：4780元/月，外派津贴：4780元/月，固定加班费补贴：3600元/月，社保补贴3450元/月，公积金补贴850元/月，合计20060元/月。
第4个月起，在项报酬为：基本薪资：2600元/月，绩效工资：6750元/月，外派津贴：6750元/月，固定加班费补贴：3600元/月，社保补贴3450元/月，公积金补贴850元/月，合计24000元/月。</t>
        </is>
      </c>
      <c r="G261" s="541" t="inlineStr">
        <is>
          <t xml:space="preserve">地平线项目，佳娣招聘-女孩
电子签-北京文石
员工已签署闭环
材料齐全
</t>
        </is>
      </c>
      <c r="H261" s="532" t="inlineStr">
        <is>
          <t>数据库运维工程师</t>
        </is>
      </c>
      <c r="I261" s="248" t="n">
        <v>46174</v>
      </c>
      <c r="M261" s="473" t="inlineStr">
        <is>
          <t>北京</t>
        </is>
      </c>
      <c r="N261" s="473" t="inlineStr">
        <is>
          <t>北京</t>
        </is>
      </c>
      <c r="Q261" s="532" t="n">
        <v>0</v>
      </c>
      <c r="R261" s="532" t="n">
        <v>0</v>
      </c>
      <c r="S261" s="532" t="n">
        <v>0</v>
      </c>
      <c r="T261" s="347" t="inlineStr">
        <is>
          <t>/</t>
        </is>
      </c>
      <c r="U261" s="541" t="inlineStr">
        <is>
          <t>6个月</t>
        </is>
      </c>
      <c r="V261" s="474" t="inlineStr">
        <is>
          <t>计算机网络技术</t>
        </is>
      </c>
      <c r="W261" s="475" t="n">
        <v>2020.6</v>
      </c>
      <c r="X261" s="472" t="inlineStr">
        <is>
          <t>统招专科</t>
        </is>
      </c>
      <c r="Y261" s="476" t="inlineStr">
        <is>
          <t>isbaweiya@163.com</t>
        </is>
      </c>
      <c r="Z261" s="472" t="inlineStr">
        <is>
          <t>山东省菏泽市牡丹区李村镇李堌堆行政村李堌堆村088号</t>
        </is>
      </c>
      <c r="AA261" s="477" t="inlineStr">
        <is>
          <t>北京市昌平区沙河镇松兰堡村黄元公寓b座301室</t>
        </is>
      </c>
      <c r="AB261" s="478" t="n">
        <v>17852573918</v>
      </c>
      <c r="AC261" s="516" t="inlineStr">
        <is>
          <t>372901199810075744</t>
        </is>
      </c>
      <c r="AD261" s="517" t="inlineStr">
        <is>
          <t>6217002300021629262</t>
        </is>
      </c>
      <c r="AE261" s="541" t="inlineStr">
        <is>
          <t>中国建设银行股份有限公司菏泽北城支行</t>
        </is>
      </c>
      <c r="AG261" s="532" t="inlineStr">
        <is>
          <t>是</t>
        </is>
      </c>
      <c r="AH261" s="547" t="inlineStr">
        <is>
          <t>第一次合同：3年
2026/6/1-2029/5/30</t>
        </is>
      </c>
      <c r="AI261">
        <f>DATEDIF(--TEXT(MID(AC261,7,8),"0-00-00"),TODAY(),"y")</f>
        <v/>
      </c>
      <c r="AJ261">
        <f>TEXT(MID(AC261,7,8),"0000-00-00")</f>
        <v/>
      </c>
      <c r="AK261">
        <f>CHOOSE(MONTH(AJ261),1,1,1,2,2,2,3,3,3,4,4,4)</f>
        <v/>
      </c>
    </row>
    <row r="262" s="558">
      <c r="B262" s="473" t="inlineStr">
        <is>
          <t>吴沛</t>
        </is>
      </c>
      <c r="C262" s="532" t="inlineStr">
        <is>
          <t>上海文石</t>
        </is>
      </c>
      <c r="D262" s="532" t="inlineStr">
        <is>
          <t>男</t>
        </is>
      </c>
      <c r="E262" s="532" t="n">
        <v>18820</v>
      </c>
      <c r="F262" s="541" t="inlineStr">
        <is>
          <t>创达HR郭菡蕾推
因小米在项需要脱敏，针对此类情况员工社保公积金只能选择全额，人选期望低保实金方案，先签订文石合同，6个月后可切回创达工作，签订3年合同，试用期6个月，试用期前3个月offer薪资8折；
-------------------------------------------------
地平线：吴沛-上海安亭-智能驾驶系统产品线-测试部-算法测试部-评测开发组-自动驾驶算法测试（评测开发方向-大数据分析）【目前base安亭，已沟通后期转入临港没问题】（社保基数：7460，公积金基数：16400*5%）文石实打实承担】
定薪上海19.5K
工资：选择低保实金方案：offer薪资：16400（基本薪资：2600，加班费补贴：3000，绩效：5400，外派津贴：5400）+社保补贴：2420【社保补贴6月份薪资周期开始发放，五险一金
到岗时间：2026年6月3日
试用期前3个月，在项报酬为：基本工资2600元/月，绩效工资3760元/月，外派津贴3760元/月，固定加班费补贴3000元/月，社保补贴2420元/月, 合计15540元/月。
第4个月起，在项报酬为：基本工资2600元/月，绩效工资5400元/月，外派津贴5400元/月，固定加班费补贴3000元/月，社保补贴2420元/月, 合计18820元/月。</t>
        </is>
      </c>
      <c r="G262" s="541" t="inlineStr">
        <is>
          <t xml:space="preserve">地平线项目，客户推荐的。
电子签-上海文石
员工已签署闭环
材料齐全
</t>
        </is>
      </c>
      <c r="H262" s="532" t="inlineStr">
        <is>
          <t>自动驾驶算法测试工程师</t>
        </is>
      </c>
      <c r="I262" s="248" t="n">
        <v>46176</v>
      </c>
      <c r="M262" s="473" t="inlineStr">
        <is>
          <t>上海</t>
        </is>
      </c>
      <c r="N262" s="473" t="inlineStr">
        <is>
          <t>上海</t>
        </is>
      </c>
      <c r="Q262" s="532" t="n">
        <v>0</v>
      </c>
      <c r="R262" s="532" t="n">
        <v>0</v>
      </c>
      <c r="S262" s="532" t="n">
        <v>0</v>
      </c>
      <c r="T262" s="347" t="inlineStr">
        <is>
          <t>/</t>
        </is>
      </c>
      <c r="U262" s="541" t="inlineStr">
        <is>
          <t>6个月</t>
        </is>
      </c>
      <c r="V262" s="474" t="inlineStr">
        <is>
          <t xml:space="preserve"> 安全防范技术</t>
        </is>
      </c>
      <c r="W262" s="475" t="n">
        <v>43845</v>
      </c>
      <c r="X262" s="472" t="inlineStr">
        <is>
          <t>本科</t>
        </is>
      </c>
      <c r="Y262" s="469" t="inlineStr">
        <is>
          <t>1175706540@qq.com</t>
        </is>
      </c>
      <c r="Z262" s="472" t="inlineStr">
        <is>
          <t>江西省上饶市鄱阳县饶州街道怡祥居10幢1单元302</t>
        </is>
      </c>
      <c r="AA262" s="477" t="inlineStr">
        <is>
          <t>上海市嘉定区万达城市公寓4号702</t>
        </is>
      </c>
      <c r="AB262" s="478" t="n">
        <v>17879374889</v>
      </c>
      <c r="AC262" s="473" t="inlineStr">
        <is>
          <t>；362330199611260039</t>
        </is>
      </c>
      <c r="AD262" s="517" t="inlineStr">
        <is>
          <t>6217001180097924057</t>
        </is>
      </c>
      <c r="AE262" s="541" t="inlineStr">
        <is>
          <t>中国建设银行上海临空支行</t>
        </is>
      </c>
      <c r="AG262" s="532" t="inlineStr">
        <is>
          <t>是</t>
        </is>
      </c>
      <c r="AH262" s="547" t="inlineStr">
        <is>
          <t>第一次合同：3年
2026/6/3-2029/6/2</t>
        </is>
      </c>
      <c r="AI262">
        <f>DATEDIF(--TEXT(MID(AC262,7,8),"0-00-00"),TODAY(),"y")</f>
        <v/>
      </c>
      <c r="AJ262">
        <f>TEXT(MID(AC262,7,8),"0000-00-00")</f>
        <v/>
      </c>
      <c r="AK262">
        <f>CHOOSE(MONTH(AJ262),1,1,1,2,2,2,3,3,3,4,4,4)</f>
        <v/>
      </c>
    </row>
    <row r="263" s="558">
      <c r="B263" s="473" t="inlineStr">
        <is>
          <t>孟乘冉-梦珂红西瓜</t>
        </is>
      </c>
      <c r="C263" s="532" t="inlineStr">
        <is>
          <t>上海文石</t>
        </is>
      </c>
      <c r="D263" s="532" t="inlineStr">
        <is>
          <t>男</t>
        </is>
      </c>
      <c r="F263" s="541" t="inlineStr">
        <is>
          <t xml:space="preserve">孟乘冉，红西瓜项目，短期脱敏，到岗时间：2026年6月10日【6个月后可切回】（社保基数：7460，公积金基数：13800*5%）文石实打实承担】
解决方案-集成验证-多媒体软件测试工程师-上海张江集鼎-TSHR郭嬑潼推-年假转回从0计算
上海定薪（16100元）
工资：低保实金方案：offer薪资：13800【基本薪资：2600，加班费补贴：2600，绩效：4300，外派津贴：4300】+社保补贴1745【社保补贴6月份薪资周期开始发放，五险一金
签订3年合同，试用期6个月，试用期前3个月offer薪资8折，社保补贴不打折。
试用期前3个月offer薪资8折：13800*80%=11040+1745=12785元【因7.5发放6月（5.25-6.24）薪资，因此社保补贴入职开始正常发放】
</t>
        </is>
      </c>
      <c r="G263" s="541" t="inlineStr">
        <is>
          <t xml:space="preserve">红西瓜梦珂短期项目，客户推荐脱敏
电子签-上海文石
员工已签署闭环
材料齐全
</t>
        </is>
      </c>
      <c r="H263" s="532" t="inlineStr">
        <is>
          <t xml:space="preserve">多媒体软件测试工程师  </t>
        </is>
      </c>
      <c r="I263" s="248" t="n">
        <v>46183</v>
      </c>
      <c r="M263" s="473" t="inlineStr">
        <is>
          <t>上海</t>
        </is>
      </c>
      <c r="N263" s="473" t="inlineStr">
        <is>
          <t>上海</t>
        </is>
      </c>
      <c r="Q263" s="532" t="n">
        <v>0</v>
      </c>
      <c r="R263" s="532" t="n">
        <v>0</v>
      </c>
      <c r="S263" s="532" t="n">
        <v>0</v>
      </c>
      <c r="T263" s="347" t="inlineStr">
        <is>
          <t>/</t>
        </is>
      </c>
      <c r="U263" s="541" t="inlineStr">
        <is>
          <t>6个月</t>
        </is>
      </c>
      <c r="V263" s="474" t="inlineStr">
        <is>
          <t>移动应用开发</t>
        </is>
      </c>
      <c r="W263" s="475" t="inlineStr">
        <is>
          <t xml:space="preserve"> 2022.7.9</t>
        </is>
      </c>
      <c r="X263" s="472" t="inlineStr">
        <is>
          <t>大专</t>
        </is>
      </c>
      <c r="Y263" s="469" t="inlineStr">
        <is>
          <t>2514935321@qq.com</t>
        </is>
      </c>
      <c r="Z263" s="472" t="inlineStr">
        <is>
          <t>江苏省宿迁市泗洪县青阳镇孙何社区居民委员会六组109号（这是身份证地址）</t>
        </is>
      </c>
      <c r="AA263" s="477" t="inlineStr">
        <is>
          <t>上海市浦东新区高青路4567弄莲康苑-37幢304</t>
        </is>
      </c>
      <c r="AB263" s="478" t="n">
        <v>15051390921</v>
      </c>
      <c r="AC263" s="473" t="inlineStr">
        <is>
          <t>‘ 321324200104170071</t>
        </is>
      </c>
      <c r="AD263" s="480" t="inlineStr">
        <is>
          <t>；6215340302617775157</t>
        </is>
      </c>
      <c r="AE263" s="541" t="inlineStr">
        <is>
          <t>中国建设银行泗洪泗州大街支行</t>
        </is>
      </c>
      <c r="AG263" s="532" t="inlineStr">
        <is>
          <t>是</t>
        </is>
      </c>
      <c r="AH263" s="547" t="inlineStr">
        <is>
          <t>第一次合同：3年
2026/6/10-2029/6/9</t>
        </is>
      </c>
      <c r="AI263">
        <f>DATEDIF(--TEXT(MID(AC263,7,8),"0-00-00"),TODAY(),"y")</f>
        <v/>
      </c>
      <c r="AJ263">
        <f>TEXT(MID(AC263,7,8),"0000-00-00")</f>
        <v/>
      </c>
      <c r="AK263">
        <f>CHOOSE(MONTH(AJ263),1,1,1,2,2,2,3,3,3,4,4,4)</f>
        <v/>
      </c>
    </row>
    <row r="264" s="558">
      <c r="B264" s="473" t="inlineStr">
        <is>
          <t>吴义军-大陆</t>
        </is>
      </c>
      <c r="C264" s="532" t="inlineStr">
        <is>
          <t>上海文石</t>
        </is>
      </c>
      <c r="D264" s="532" t="inlineStr">
        <is>
          <t>男</t>
        </is>
      </c>
      <c r="F264" s="541" t="inlineStr">
        <is>
          <t xml:space="preserve">吴义军：大陆-上海-实车测试（主动安全）【注意：欣琰姐推荐，后期会转回创达】到岗时间：6月22日
工资：薪资12k不打折【基础薪资：2600，社保补贴：1200，公积金补贴：500，固定加班费：2200，绩效：2750，外派津贴：2750】，签订3年合同，试用期6个月不打折
</t>
        </is>
      </c>
      <c r="G264" s="541" t="inlineStr">
        <is>
          <t>（大陆）-欣琰推荐
电子签-上海文石
员工已签署闭环
材料齐全</t>
        </is>
      </c>
      <c r="H264" s="532" t="inlineStr">
        <is>
          <t>实车测试工程师（主动安全）</t>
        </is>
      </c>
      <c r="I264" s="248" t="n">
        <v>46195</v>
      </c>
      <c r="M264" s="473" t="inlineStr">
        <is>
          <t>上海</t>
        </is>
      </c>
      <c r="N264" s="473" t="inlineStr">
        <is>
          <t>上海</t>
        </is>
      </c>
      <c r="T264" s="347" t="inlineStr">
        <is>
          <t>3年</t>
        </is>
      </c>
      <c r="U264" s="541" t="inlineStr">
        <is>
          <t>6个月</t>
        </is>
      </c>
      <c r="V264" s="12" t="inlineStr">
        <is>
          <t>汽车检测与维修技术</t>
        </is>
      </c>
      <c r="W264" s="481" t="n">
        <v>42552</v>
      </c>
      <c r="X264" s="12" t="inlineStr">
        <is>
          <t>大专</t>
        </is>
      </c>
      <c r="Y264" s="469" t="inlineStr">
        <is>
          <t>1049609571@qq.com</t>
        </is>
      </c>
      <c r="Z264" s="12" t="inlineStr">
        <is>
          <t>安徽省池州市贵池区涓桥镇普丰村朝胜组11号</t>
        </is>
      </c>
      <c r="AA264" s="12" t="inlineStr">
        <is>
          <t>上海市嘉定区秋竹路1139弄紫薇坊8号1404室A</t>
        </is>
      </c>
      <c r="AB264" s="12" t="n">
        <v>18815755429</v>
      </c>
      <c r="AC264" s="473" t="inlineStr">
        <is>
          <t>‘34290119931113461X</t>
        </is>
      </c>
      <c r="AD264" s="517" t="inlineStr">
        <is>
          <t>6217001180049581757</t>
        </is>
      </c>
      <c r="AE264" s="541" t="inlineStr">
        <is>
          <t>中国建设银行股份有限公司上海唐镇支行</t>
        </is>
      </c>
      <c r="AG264" s="532" t="inlineStr">
        <is>
          <t>是</t>
        </is>
      </c>
      <c r="AH264" s="547" t="n"/>
      <c r="AI264">
        <f>DATEDIF(--TEXT(MID(AC264,7,8),"0-00-00"),TODAY(),"y")</f>
        <v/>
      </c>
      <c r="AJ264">
        <f>TEXT(MID(AC264,7,8),"0000-00-00")</f>
        <v/>
      </c>
      <c r="AK264">
        <f>CHOOSE(MONTH(AJ264),1,1,1,2,2,2,3,3,3,4,4,4)</f>
        <v/>
      </c>
    </row>
    <row r="265" s="558">
      <c r="B265" s="473" t="inlineStr">
        <is>
          <t>王恒易-大陆</t>
        </is>
      </c>
      <c r="C265" s="532" t="inlineStr">
        <is>
          <t>上海文石</t>
        </is>
      </c>
      <c r="D265" s="532" t="inlineStr">
        <is>
          <t>男</t>
        </is>
      </c>
      <c r="F265" s="541" t="inlineStr">
        <is>
          <t>20k,签订3年合同，试用期6个月，前3个月打8折【基本薪资：2600，加班费补贴：3700，社保补贴：3300，公积金补贴：900，绩效和外派津贴各占50%（4750）】
前3个月，在项报酬为：基本工资：2600元/月，绩效工资2750元/月，外派津贴2750元/月，固定加班费补贴：3700元/月，社保补贴：3300元/月，公积金补贴：900元/月 ，合计16000元/月。
第4个月起，在项报酬为：基本工资：2600元/月，绩效工资4750元/月，外派津贴4750元/月，固定加班费补贴：3700元/月，社保补贴：3300元/月，公积金补贴：900元/月 ，合计20000元/月。</t>
        </is>
      </c>
      <c r="G265" s="541" t="inlineStr">
        <is>
          <t>（大陆项目）-珍珍招聘
电子签-上海文石
员工已签署闭环
材料齐全</t>
        </is>
      </c>
      <c r="H265" s="532" t="inlineStr">
        <is>
          <t>智驾中间件开发工程师</t>
        </is>
      </c>
      <c r="I265" s="248" t="n">
        <v>46195</v>
      </c>
      <c r="M265" s="473" t="inlineStr">
        <is>
          <t>上海</t>
        </is>
      </c>
      <c r="N265" s="473" t="inlineStr">
        <is>
          <t>上海</t>
        </is>
      </c>
      <c r="T265" s="347" t="inlineStr">
        <is>
          <t>3年</t>
        </is>
      </c>
      <c r="U265" s="541" t="inlineStr">
        <is>
          <t>6个月</t>
        </is>
      </c>
      <c r="V265" s="474" t="inlineStr">
        <is>
          <t>信息安全</t>
        </is>
      </c>
      <c r="W265" s="475" t="n">
        <v>2020.7</v>
      </c>
      <c r="X265" s="472" t="inlineStr">
        <is>
          <t>本科</t>
        </is>
      </c>
      <c r="Y265" s="469" t="inlineStr">
        <is>
          <t>1120839209@qq.com</t>
        </is>
      </c>
      <c r="Z265" s="472" t="inlineStr">
        <is>
          <t>湖北省麻城市中馆驿镇漆屋垮村熊家垮19号</t>
        </is>
      </c>
      <c r="AA265" s="477" t="inlineStr">
        <is>
          <t>上海市闵行区吴泾镇龙吴路 5511 弄永德小区北区 226 号 230 室</t>
        </is>
      </c>
      <c r="AB265" s="478" t="n">
        <v>15671564572</v>
      </c>
      <c r="AC265" s="516" t="inlineStr">
        <is>
          <t>421181199612211313</t>
        </is>
      </c>
      <c r="AD265" s="517" t="inlineStr">
        <is>
          <t>6217001180098474904</t>
        </is>
      </c>
      <c r="AE265" s="541" t="inlineStr">
        <is>
          <t>中国建设银行上海吴泾支行</t>
        </is>
      </c>
      <c r="AG265" s="532" t="inlineStr">
        <is>
          <t>是</t>
        </is>
      </c>
      <c r="AH265" s="547" t="n"/>
      <c r="AI265">
        <f>DATEDIF(--TEXT(MID(AC265,7,8),"0-00-00"),TODAY(),"y")</f>
        <v/>
      </c>
      <c r="AJ265">
        <f>TEXT(MID(AC265,7,8),"0000-00-00")</f>
        <v/>
      </c>
      <c r="AK265">
        <f>CHOOSE(MONTH(AJ265),1,1,1,2,2,2,3,3,3,4,4,4)</f>
        <v/>
      </c>
    </row>
    <row r="266" s="558">
      <c r="B266" s="473" t="inlineStr">
        <is>
          <t>王家瑞</t>
        </is>
      </c>
      <c r="C266" s="532" t="inlineStr">
        <is>
          <t>上海文石</t>
        </is>
      </c>
      <c r="D266" s="532" t="inlineStr">
        <is>
          <t>女</t>
        </is>
      </c>
      <c r="F266" s="541" t="inlineStr">
        <is>
          <t>上海，实则短期半年人选不知情。
工资：15k,签订3年合同，试用期6个月，试用期第1个月8折，第2、3个月特殊申请9折，第4个月起不打折【基本薪资：2600，加班费补贴：2800，社保补贴：2000，公积金补贴：700，绩效3450，外派津贴,3450】五险一金最低标准缴纳 上海社保7460，公积金2690*5%
到岗时间：2026年6月29日，后期搬迁至临港没问题
IT与数字化部-数字化解决方案部-BI开发工程师</t>
        </is>
      </c>
      <c r="G266" s="541" t="inlineStr">
        <is>
          <t xml:space="preserve">地平线项目，王昊招聘-女孩
电子签-上海文石
员工已签署闭环
材料齐全
</t>
        </is>
      </c>
      <c r="H266" s="532" t="inlineStr">
        <is>
          <t>BI开发工程师</t>
        </is>
      </c>
      <c r="I266" s="533" t="n">
        <v>46202</v>
      </c>
      <c r="M266" s="473" t="inlineStr">
        <is>
          <t>上海</t>
        </is>
      </c>
      <c r="N266" s="473" t="inlineStr">
        <is>
          <t>上海</t>
        </is>
      </c>
      <c r="Q266" s="532" t="n">
        <v>0</v>
      </c>
      <c r="R266" s="532" t="n">
        <v>0</v>
      </c>
      <c r="S266" s="532" t="n">
        <v>0</v>
      </c>
      <c r="T266" s="347" t="inlineStr">
        <is>
          <t>3年</t>
        </is>
      </c>
      <c r="U266" s="541" t="inlineStr">
        <is>
          <t>6个月</t>
        </is>
      </c>
      <c r="V266" s="474" t="inlineStr">
        <is>
          <t>大数据技术和应用</t>
        </is>
      </c>
      <c r="W266" s="482" t="n">
        <v>45108</v>
      </c>
      <c r="X266" s="473" t="inlineStr">
        <is>
          <t>统招专科</t>
        </is>
      </c>
      <c r="Y266" s="469" t="inlineStr">
        <is>
          <t>2119610868@qq.com</t>
        </is>
      </c>
      <c r="Z266" s="483" t="inlineStr">
        <is>
          <t>河南省商水县郝岗乡柴湾村七组</t>
        </is>
      </c>
      <c r="AA266" s="483" t="inlineStr">
        <is>
          <t>河南省商水县郝岗乡柴湾村七组</t>
        </is>
      </c>
      <c r="AB266" s="478" t="n">
        <v>18638181753</v>
      </c>
      <c r="AC266" s="516" t="inlineStr">
        <is>
          <t>412723199810082522</t>
        </is>
      </c>
      <c r="AD266" s="471" t="inlineStr">
        <is>
          <t>6210 812 3004 0342 442</t>
        </is>
      </c>
      <c r="AE266" s="541" t="inlineStr">
        <is>
          <t>中国建设银行郑州宝龙城市广场支行</t>
        </is>
      </c>
      <c r="AG266" s="532" t="inlineStr">
        <is>
          <t>是</t>
        </is>
      </c>
      <c r="AI266">
        <f>DATEDIF(--TEXT(MID(AC266,7,8),"0-00-00"),TODAY(),"y")</f>
        <v/>
      </c>
      <c r="AJ266">
        <f>TEXT(MID(AC266,7,8),"0000-00-00")</f>
        <v/>
      </c>
      <c r="AK266">
        <f>CHOOSE(MONTH(AJ266),1,1,1,2,2,2,3,3,3,4,4,4)</f>
        <v/>
      </c>
    </row>
    <row r="267" s="558">
      <c r="B267" s="541" t="inlineStr">
        <is>
          <t>李文礼
维他项目欣琰</t>
        </is>
      </c>
      <c r="C267" s="532" t="inlineStr">
        <is>
          <t>北京文石</t>
        </is>
      </c>
      <c r="D267" s="532" t="inlineStr">
        <is>
          <t>男</t>
        </is>
      </c>
      <c r="F267" s="541" t="inlineStr">
        <is>
          <t>维他动力-机器人测试
工资：低薪实缴方案：offer薪资14000（社保14000，公积金14000*5%；基本薪资：2600，加班费补贴：2600，绩效：4400，外派津贴：4400）
签订3年合同，试用期6个月，试用期前三个月offer薪资8折
到岗时间：2026年7月1日</t>
        </is>
      </c>
      <c r="G267" s="541" t="inlineStr">
        <is>
          <t>（维他项目）-创达推荐
电子签-北京文石
员工已签署闭环
材料齐全</t>
        </is>
      </c>
      <c r="H267" s="532" t="inlineStr">
        <is>
          <t>机器人测试工程师</t>
        </is>
      </c>
      <c r="I267" s="533" t="inlineStr">
        <is>
          <t>2026.7.1</t>
        </is>
      </c>
      <c r="M267" s="473" t="inlineStr">
        <is>
          <t>北京</t>
        </is>
      </c>
      <c r="N267" s="473" t="inlineStr">
        <is>
          <t>北京</t>
        </is>
      </c>
      <c r="Q267" s="532" t="n">
        <v>0</v>
      </c>
      <c r="R267" s="532" t="n">
        <v>0</v>
      </c>
      <c r="S267" s="532" t="n">
        <v>0</v>
      </c>
      <c r="T267" s="347" t="inlineStr">
        <is>
          <t>3年</t>
        </is>
      </c>
      <c r="U267" s="541" t="inlineStr">
        <is>
          <t>6个月</t>
        </is>
      </c>
      <c r="V267" s="12" t="inlineStr">
        <is>
          <t>计算机科学与技术</t>
        </is>
      </c>
      <c r="W267" s="12" t="inlineStr">
        <is>
          <t>2020.7.1</t>
        </is>
      </c>
      <c r="X267" s="12" t="inlineStr">
        <is>
          <t>本科</t>
        </is>
      </c>
      <c r="Y267" s="460" t="inlineStr">
        <is>
          <t>18192956275@163.com</t>
        </is>
      </c>
      <c r="Z267" s="12" t="inlineStr">
        <is>
          <t>河南省周口市郸城县丁村乡徐庄</t>
        </is>
      </c>
      <c r="AA267" s="12" t="inlineStr">
        <is>
          <t xml:space="preserve"> 北京市海淀区宝盛北里7号楼二单元402</t>
        </is>
      </c>
      <c r="AB267" s="12" t="n">
        <v>18192956275</v>
      </c>
      <c r="AC267" s="12" t="inlineStr">
        <is>
          <t>；412726199711223317</t>
        </is>
      </c>
      <c r="AD267" s="532" t="inlineStr">
        <is>
          <t>；6210814220002692894</t>
        </is>
      </c>
      <c r="AE267" s="532" t="inlineStr">
        <is>
          <t>中国建设银行 雁塔区 凯悦华庭（电子正街）支行</t>
        </is>
      </c>
      <c r="AI267">
        <f>DATEDIF(--TEXT(MID(AC267,7,8),"0-00-00"),TODAY(),"y")</f>
        <v/>
      </c>
      <c r="AJ267">
        <f>TEXT(MID(AC267,7,8),"0000-00-00")</f>
        <v/>
      </c>
      <c r="AK267">
        <f>CHOOSE(MONTH(AJ267),1,1,1,2,2,2,3,3,3,4,4,4)</f>
        <v/>
      </c>
    </row>
  </sheetData>
  <autoFilter ref="A2:CV267"/>
  <mergeCells count="1">
    <mergeCell ref="A1:U1"/>
  </mergeCells>
  <conditionalFormatting sqref="I84">
    <cfRule type="expression" priority="3" dxfId="0" stopIfTrue="1">
      <formula>(#REF!="X")</formula>
    </cfRule>
  </conditionalFormatting>
  <conditionalFormatting sqref="B38:C39 B47:C47">
    <cfRule type="expression" priority="4" dxfId="0" stopIfTrue="1">
      <formula>(#REF!="X")</formula>
    </cfRule>
    <cfRule type="expression" priority="5" dxfId="0" stopIfTrue="1">
      <formula>(#REF!="X")</formula>
    </cfRule>
  </conditionalFormatting>
  <hyperlinks>
    <hyperlink xmlns:r="http://schemas.openxmlformats.org/officeDocument/2006/relationships" ref="Z3" tooltip="mailto:1471911951@qq.com" display="1471911951@qq.com" r:id="rId1"/>
    <hyperlink xmlns:r="http://schemas.openxmlformats.org/officeDocument/2006/relationships" ref="Z4" tooltip="mailto:269386729@qq.com" display="269386729@qq.com" r:id="rId2"/>
    <hyperlink xmlns:r="http://schemas.openxmlformats.org/officeDocument/2006/relationships" ref="Z5" display="1443945967@qq.com" r:id="rId3"/>
    <hyperlink xmlns:r="http://schemas.openxmlformats.org/officeDocument/2006/relationships" ref="Z6" display="18611090078@163.com" r:id="rId4"/>
    <hyperlink xmlns:r="http://schemas.openxmlformats.org/officeDocument/2006/relationships" ref="Z7" tooltip="mailto:1643071083@163.com" display="1643071083@163.com" r:id="rId5"/>
    <hyperlink xmlns:r="http://schemas.openxmlformats.org/officeDocument/2006/relationships" ref="Z9" tooltip="mailto:1933808743@qq.com" display="1933808743@qq.com" r:id="rId6"/>
    <hyperlink xmlns:r="http://schemas.openxmlformats.org/officeDocument/2006/relationships" ref="Z13" display="1207342952@qq.com" r:id="rId7"/>
    <hyperlink xmlns:r="http://schemas.openxmlformats.org/officeDocument/2006/relationships" ref="Z16" tooltip="mailto:fangxy_121@163.com" display="fangxy_121@163.com" r:id="rId8"/>
    <hyperlink xmlns:r="http://schemas.openxmlformats.org/officeDocument/2006/relationships" ref="Z18" display="55314171@qq.com" r:id="rId9"/>
    <hyperlink xmlns:r="http://schemas.openxmlformats.org/officeDocument/2006/relationships" ref="Z19" display="m17371297307@163.com" r:id="rId10"/>
    <hyperlink xmlns:r="http://schemas.openxmlformats.org/officeDocument/2006/relationships" ref="Z20" display="ljh981109@163.com" r:id="rId11"/>
    <hyperlink xmlns:r="http://schemas.openxmlformats.org/officeDocument/2006/relationships" ref="Z21" tooltip="mailto:814202215@qq.com" display="814202215@qq.com" r:id="rId12"/>
    <hyperlink xmlns:r="http://schemas.openxmlformats.org/officeDocument/2006/relationships" ref="Z22" display="154439155@qq.com" r:id="rId13"/>
    <hyperlink xmlns:r="http://schemas.openxmlformats.org/officeDocument/2006/relationships" ref="Z23" display="w19963981158@163.com" r:id="rId14"/>
    <hyperlink xmlns:r="http://schemas.openxmlformats.org/officeDocument/2006/relationships" ref="Z24" display="lizileiit@163.com" r:id="rId15"/>
    <hyperlink xmlns:r="http://schemas.openxmlformats.org/officeDocument/2006/relationships" ref="Z25" display="liumh564@163.com" r:id="rId16"/>
    <hyperlink xmlns:r="http://schemas.openxmlformats.org/officeDocument/2006/relationships" ref="Z26" display="3114468737@qq.com" r:id="rId17"/>
    <hyperlink xmlns:r="http://schemas.openxmlformats.org/officeDocument/2006/relationships" ref="Z27" tooltip="mailto:1248049356@qq.com" display="1248049356@qq.com" r:id="rId18"/>
    <hyperlink xmlns:r="http://schemas.openxmlformats.org/officeDocument/2006/relationships" ref="Z28" display="purpletreecase@163.com" r:id="rId19"/>
    <hyperlink xmlns:r="http://schemas.openxmlformats.org/officeDocument/2006/relationships" ref="Z29" display="449103166@qq.com" r:id="rId20"/>
    <hyperlink xmlns:r="http://schemas.openxmlformats.org/officeDocument/2006/relationships" ref="Z30" display="634214273@qq.com" r:id="rId21"/>
    <hyperlink xmlns:r="http://schemas.openxmlformats.org/officeDocument/2006/relationships" ref="Z31" display="ningmenglei7051@163.com" r:id="rId22"/>
    <hyperlink xmlns:r="http://schemas.openxmlformats.org/officeDocument/2006/relationships" ref="Z32" display="2695348936@qq.com" r:id="rId23"/>
    <hyperlink xmlns:r="http://schemas.openxmlformats.org/officeDocument/2006/relationships" ref="Z34" tooltip="mailto:17691586420@163.com" display="17691586420@163.com" r:id="rId24"/>
    <hyperlink xmlns:r="http://schemas.openxmlformats.org/officeDocument/2006/relationships" ref="Z35" display="415562269@qq.com" r:id="rId25"/>
    <hyperlink xmlns:r="http://schemas.openxmlformats.org/officeDocument/2006/relationships" ref="Z36" tooltip="mailto:2420477503@qq.com" display="2420477503@qq.com" r:id="rId26"/>
    <hyperlink xmlns:r="http://schemas.openxmlformats.org/officeDocument/2006/relationships" ref="Z37" display="30114565@qq.com" r:id="rId27"/>
    <hyperlink xmlns:r="http://schemas.openxmlformats.org/officeDocument/2006/relationships" ref="Z40" tooltip="mailto:794375239@qq.com" display="794375239@qq.com" r:id="rId28"/>
    <hyperlink xmlns:r="http://schemas.openxmlformats.org/officeDocument/2006/relationships" ref="Z41" tooltip="mailto:ekin_gou@163.com" display="ekin_gou@163.com" r:id="rId29"/>
    <hyperlink xmlns:r="http://schemas.openxmlformats.org/officeDocument/2006/relationships" ref="Z42" tooltip="mailto:378236615@qq.com" display="378236615@qq.com" r:id="rId30"/>
    <hyperlink xmlns:r="http://schemas.openxmlformats.org/officeDocument/2006/relationships" ref="Z43" display="1732052404@qq.com " r:id="rId31"/>
    <hyperlink xmlns:r="http://schemas.openxmlformats.org/officeDocument/2006/relationships" ref="Z44" display="781903821@qq.com" r:id="rId32"/>
    <hyperlink xmlns:r="http://schemas.openxmlformats.org/officeDocument/2006/relationships" ref="Z49" display="1126460411@qq.com" r:id="rId33"/>
    <hyperlink xmlns:r="http://schemas.openxmlformats.org/officeDocument/2006/relationships" ref="Z50" display="779990810@qq.com" r:id="rId34"/>
    <hyperlink xmlns:r="http://schemas.openxmlformats.org/officeDocument/2006/relationships" ref="Z51" display="624938462@qq.com " r:id="rId35"/>
    <hyperlink xmlns:r="http://schemas.openxmlformats.org/officeDocument/2006/relationships" ref="Z52" display="18234936942@163.com" r:id="rId36"/>
    <hyperlink xmlns:r="http://schemas.openxmlformats.org/officeDocument/2006/relationships" ref="Z53" tooltip="mailto:1436006750@qq.com" display="1436006750@qq.com" r:id="rId37"/>
    <hyperlink xmlns:r="http://schemas.openxmlformats.org/officeDocument/2006/relationships" ref="Z54" display="931376221@qq.com" r:id="rId38"/>
    <hyperlink xmlns:r="http://schemas.openxmlformats.org/officeDocument/2006/relationships" ref="Z55" display="2632243167@qq.com" r:id="rId39"/>
    <hyperlink xmlns:r="http://schemas.openxmlformats.org/officeDocument/2006/relationships" ref="Z56" display="1851651404@qq.com" r:id="rId40"/>
    <hyperlink xmlns:r="http://schemas.openxmlformats.org/officeDocument/2006/relationships" ref="Z57" tooltip="mailto:2924572725@qq.com" display="2924572725@qq.com" r:id="rId41"/>
    <hyperlink xmlns:r="http://schemas.openxmlformats.org/officeDocument/2006/relationships" ref="Z58" display="chance.wei@foxmail.com" r:id="rId42"/>
    <hyperlink xmlns:r="http://schemas.openxmlformats.org/officeDocument/2006/relationships" ref="Z59" display="smalldy@foxmail.com" r:id="rId43"/>
    <hyperlink xmlns:r="http://schemas.openxmlformats.org/officeDocument/2006/relationships" ref="Z60" display="549446139@qq.com" r:id="rId44"/>
    <hyperlink xmlns:r="http://schemas.openxmlformats.org/officeDocument/2006/relationships" ref="Z61" display="y845898448@163.com" r:id="rId45"/>
    <hyperlink xmlns:r="http://schemas.openxmlformats.org/officeDocument/2006/relationships" ref="Z62" tooltip="mailto:1981694007@qq.com" display="1981694007@qq.com" r:id="rId46"/>
    <hyperlink xmlns:r="http://schemas.openxmlformats.org/officeDocument/2006/relationships" ref="Z64" display="2247197763@qq.com" r:id="rId47"/>
    <hyperlink xmlns:r="http://schemas.openxmlformats.org/officeDocument/2006/relationships" ref="Z65" display="619944431@qq.com" r:id="rId48"/>
    <hyperlink xmlns:r="http://schemas.openxmlformats.org/officeDocument/2006/relationships" ref="Z66" display="375029355@qq.com" r:id="rId49"/>
    <hyperlink xmlns:r="http://schemas.openxmlformats.org/officeDocument/2006/relationships" ref="Z67" display="2718466302@qq.com" r:id="rId50"/>
    <hyperlink xmlns:r="http://schemas.openxmlformats.org/officeDocument/2006/relationships" ref="Z68" display="15899783712@163.com" r:id="rId51"/>
    <hyperlink xmlns:r="http://schemas.openxmlformats.org/officeDocument/2006/relationships" ref="Z69" display="2229243860@qq.com" r:id="rId52"/>
    <hyperlink xmlns:r="http://schemas.openxmlformats.org/officeDocument/2006/relationships" ref="Z75" tooltip="mailto:13721833275@163.com" display="13721833275@163.com" r:id="rId53"/>
    <hyperlink xmlns:r="http://schemas.openxmlformats.org/officeDocument/2006/relationships" ref="Z76" display="981710965@qq.com" r:id="rId54"/>
    <hyperlink xmlns:r="http://schemas.openxmlformats.org/officeDocument/2006/relationships" ref="Z78" display="709358843@qq.com" r:id="rId55"/>
    <hyperlink xmlns:r="http://schemas.openxmlformats.org/officeDocument/2006/relationships" ref="Z80" tooltip="mailto:675805481@qq.com" display="675805481@qq.com" r:id="rId56"/>
    <hyperlink xmlns:r="http://schemas.openxmlformats.org/officeDocument/2006/relationships" ref="Z81" display="960980268@qq.com" r:id="rId57"/>
    <hyperlink xmlns:r="http://schemas.openxmlformats.org/officeDocument/2006/relationships" ref="Z83" display="breathe1103@163.com" r:id="rId58"/>
    <hyperlink xmlns:r="http://schemas.openxmlformats.org/officeDocument/2006/relationships" ref="Z84" tooltip="mailto:1528823669@qq.com" display="1528823669@qq.com" r:id="rId59"/>
    <hyperlink xmlns:r="http://schemas.openxmlformats.org/officeDocument/2006/relationships" ref="Z85" display="17629858525@163.com" r:id="rId60"/>
    <hyperlink xmlns:r="http://schemas.openxmlformats.org/officeDocument/2006/relationships" ref="Z86" display="18043583776@163.com" r:id="rId61"/>
    <hyperlink xmlns:r="http://schemas.openxmlformats.org/officeDocument/2006/relationships" ref="Z87" display="dashengbrother@163.com" r:id="rId62"/>
    <hyperlink xmlns:r="http://schemas.openxmlformats.org/officeDocument/2006/relationships" ref="Z88" tooltip="mailto:13761036752@163.com" display="13761036752@163.com" r:id="rId63"/>
    <hyperlink xmlns:r="http://schemas.openxmlformats.org/officeDocument/2006/relationships" ref="Z90" display="wyj2515302571@163.com" r:id="rId64"/>
    <hyperlink xmlns:r="http://schemas.openxmlformats.org/officeDocument/2006/relationships" ref="Z91" display="1178469274@qq.com" r:id="rId65"/>
    <hyperlink xmlns:r="http://schemas.openxmlformats.org/officeDocument/2006/relationships" ref="Z92" display="516780019@qq.com" r:id="rId66"/>
    <hyperlink xmlns:r="http://schemas.openxmlformats.org/officeDocument/2006/relationships" ref="Z93" display="2650292643@qq.com" r:id="rId67"/>
    <hyperlink xmlns:r="http://schemas.openxmlformats.org/officeDocument/2006/relationships" ref="Z94" display="929860566@qq.com" r:id="rId68"/>
    <hyperlink xmlns:r="http://schemas.openxmlformats.org/officeDocument/2006/relationships" ref="Z96" display="13774201965@163.com" r:id="rId69"/>
    <hyperlink xmlns:r="http://schemas.openxmlformats.org/officeDocument/2006/relationships" ref="Z97" tooltip="mailto:425059934@qq.com" display="425059934@qq.com" r:id="rId70"/>
    <hyperlink xmlns:r="http://schemas.openxmlformats.org/officeDocument/2006/relationships" ref="Z98" tooltip="mailto:1729267584@qq.com" display="1729267584@qq.com" r:id="rId71"/>
    <hyperlink xmlns:r="http://schemas.openxmlformats.org/officeDocument/2006/relationships" ref="Z99" tooltip="mailto:669223903@qq.com" display="669223903@qq.com" r:id="rId72"/>
    <hyperlink xmlns:r="http://schemas.openxmlformats.org/officeDocument/2006/relationships" ref="Z100" display="lishuai199611@qq.com" r:id="rId73"/>
    <hyperlink xmlns:r="http://schemas.openxmlformats.org/officeDocument/2006/relationships" ref="Z101" display="com2454162906@163.com" r:id="rId74"/>
    <hyperlink xmlns:r="http://schemas.openxmlformats.org/officeDocument/2006/relationships" ref="Z102" tooltip="mailto:1837178738@qq.com" display="1837178738@qq.com" r:id="rId75"/>
    <hyperlink xmlns:r="http://schemas.openxmlformats.org/officeDocument/2006/relationships" ref="Z103" tooltip="mailto:369262031@qq.com" display="369262031@qq.com" r:id="rId76"/>
    <hyperlink xmlns:r="http://schemas.openxmlformats.org/officeDocument/2006/relationships" ref="Z104" tooltip="mailto:342546038@qq.com" display="342546038@qq.com" r:id="rId77"/>
    <hyperlink xmlns:r="http://schemas.openxmlformats.org/officeDocument/2006/relationships" ref="Z105" tooltip="mailto:601046124@qq.com" display="601046124@qq.com" r:id="rId78"/>
    <hyperlink xmlns:r="http://schemas.openxmlformats.org/officeDocument/2006/relationships" ref="Z106" display="822025589@qq.com" r:id="rId79"/>
    <hyperlink xmlns:r="http://schemas.openxmlformats.org/officeDocument/2006/relationships" ref="Z107" tooltip="mailto:474752621@qq.com" display="474752621@qq.com" r:id="rId80"/>
    <hyperlink xmlns:r="http://schemas.openxmlformats.org/officeDocument/2006/relationships" ref="Z108" display="119196665@qq.com" r:id="rId81"/>
    <hyperlink xmlns:r="http://schemas.openxmlformats.org/officeDocument/2006/relationships" ref="Z109" tooltip="mailto:1501566584@qq.com" display="1501566584@qq.com" r:id="rId82"/>
    <hyperlink xmlns:r="http://schemas.openxmlformats.org/officeDocument/2006/relationships" ref="Z110" tooltip="mailto:2244967879@qq.com" display="2244967879@qq.com" r:id="rId83"/>
    <hyperlink xmlns:r="http://schemas.openxmlformats.org/officeDocument/2006/relationships" ref="Z111" tooltip="mailto:1641785380@qq.com" display="1641785380@qq.com" r:id="rId84"/>
    <hyperlink xmlns:r="http://schemas.openxmlformats.org/officeDocument/2006/relationships" ref="Z112" tooltip="mailto:1079584878@qq.com" display="1079584878@qq.com" r:id="rId85"/>
    <hyperlink xmlns:r="http://schemas.openxmlformats.org/officeDocument/2006/relationships" ref="Z113" display="2775203997@qq.com" r:id="rId86"/>
    <hyperlink xmlns:r="http://schemas.openxmlformats.org/officeDocument/2006/relationships" ref="Z114" display="773802540@qq.com" r:id="rId87"/>
    <hyperlink xmlns:r="http://schemas.openxmlformats.org/officeDocument/2006/relationships" ref="Z118" display="1601441012@qq.com" r:id="rId88"/>
    <hyperlink xmlns:r="http://schemas.openxmlformats.org/officeDocument/2006/relationships" ref="Z119" display="1848525275@qq.com" r:id="rId89"/>
    <hyperlink xmlns:r="http://schemas.openxmlformats.org/officeDocument/2006/relationships" ref="Z121" display="2930373702@qq.com" r:id="rId90"/>
    <hyperlink xmlns:r="http://schemas.openxmlformats.org/officeDocument/2006/relationships" ref="Z122" display="1123020772@qq.com" r:id="rId91"/>
    <hyperlink xmlns:r="http://schemas.openxmlformats.org/officeDocument/2006/relationships" ref="Z127" display="h18336639656@163.com" r:id="rId92"/>
    <hyperlink xmlns:r="http://schemas.openxmlformats.org/officeDocument/2006/relationships" ref="Z130" display="st13703220047@163.com " r:id="rId93"/>
    <hyperlink xmlns:r="http://schemas.openxmlformats.org/officeDocument/2006/relationships" ref="Z131" display="1301531437@qq.com" r:id="rId94"/>
    <hyperlink xmlns:r="http://schemas.openxmlformats.org/officeDocument/2006/relationships" ref="Z132" display="sjz1658902424@163.com" r:id="rId95"/>
    <hyperlink xmlns:r="http://schemas.openxmlformats.org/officeDocument/2006/relationships" ref="Z136" display="736052331@qq.com" r:id="rId96"/>
    <hyperlink xmlns:r="http://schemas.openxmlformats.org/officeDocument/2006/relationships" ref="Z137" display="1539347374@qq.com" r:id="rId97"/>
    <hyperlink xmlns:r="http://schemas.openxmlformats.org/officeDocument/2006/relationships" ref="Z140" tooltip="mailto:1809159770@qq.com" display="1809159770@qq.com" r:id="rId98"/>
    <hyperlink xmlns:r="http://schemas.openxmlformats.org/officeDocument/2006/relationships" ref="Z142" display="16619923591@163.com" r:id="rId99"/>
    <hyperlink xmlns:r="http://schemas.openxmlformats.org/officeDocument/2006/relationships" ref="Z144" display="c17613715525@163.com" r:id="rId100"/>
    <hyperlink xmlns:r="http://schemas.openxmlformats.org/officeDocument/2006/relationships" ref="Z147" tooltip="mailto:2644514826@qq.com" display="2644514826@qq.com" r:id="rId101"/>
    <hyperlink xmlns:r="http://schemas.openxmlformats.org/officeDocument/2006/relationships" ref="Z149" tooltip="mailto:3112664502@qq.com" display="3112664502@qq.com" r:id="rId102"/>
    <hyperlink xmlns:r="http://schemas.openxmlformats.org/officeDocument/2006/relationships" ref="Z150" display="18625742481@163.com" r:id="rId103"/>
    <hyperlink xmlns:r="http://schemas.openxmlformats.org/officeDocument/2006/relationships" ref="Z154" display="2403047309@qq.com" r:id="rId104"/>
    <hyperlink xmlns:r="http://schemas.openxmlformats.org/officeDocument/2006/relationships" ref="Z155" display="1252615577@qq.com" r:id="rId105"/>
    <hyperlink xmlns:r="http://schemas.openxmlformats.org/officeDocument/2006/relationships" ref="Z157" tooltip="mailto:huangzeruijack@163.com" display="huangzeruijack@163.com" r:id="rId106"/>
    <hyperlink xmlns:r="http://schemas.openxmlformats.org/officeDocument/2006/relationships" ref="Z160" display="2550374283@qq.com" r:id="rId107"/>
    <hyperlink xmlns:r="http://schemas.openxmlformats.org/officeDocument/2006/relationships" ref="Z161" display="15618658301@163.com" r:id="rId108"/>
    <hyperlink xmlns:r="http://schemas.openxmlformats.org/officeDocument/2006/relationships" ref="Z165" display="1601417352@qq.com" r:id="rId109"/>
    <hyperlink xmlns:r="http://schemas.openxmlformats.org/officeDocument/2006/relationships" ref="Z166" display="178884773@qq.com" r:id="rId110"/>
    <hyperlink xmlns:r="http://schemas.openxmlformats.org/officeDocument/2006/relationships" ref="Z167" display="13933018365@163.com " r:id="rId111"/>
    <hyperlink xmlns:r="http://schemas.openxmlformats.org/officeDocument/2006/relationships" ref="Z168" display="308160659@qq.com" r:id="rId112"/>
    <hyperlink xmlns:r="http://schemas.openxmlformats.org/officeDocument/2006/relationships" ref="Z169" display="274662093@qq.com" r:id="rId113"/>
    <hyperlink xmlns:r="http://schemas.openxmlformats.org/officeDocument/2006/relationships" ref="Z170" display="719587303@qq.com&#10;" r:id="rId114"/>
    <hyperlink xmlns:r="http://schemas.openxmlformats.org/officeDocument/2006/relationships" ref="Z174" display="1461860981@qq.com" r:id="rId115"/>
    <hyperlink xmlns:r="http://schemas.openxmlformats.org/officeDocument/2006/relationships" ref="Z175" display="five3@163.com" r:id="rId116"/>
    <hyperlink xmlns:r="http://schemas.openxmlformats.org/officeDocument/2006/relationships" ref="Z179" display="2764254334@qq.com" r:id="rId117"/>
    <hyperlink xmlns:r="http://schemas.openxmlformats.org/officeDocument/2006/relationships" ref="Z181" tooltip="mailto:1784100544@qq.com" display="1784100544@qq.com" r:id="rId118"/>
    <hyperlink xmlns:r="http://schemas.openxmlformats.org/officeDocument/2006/relationships" ref="Z182" tooltip="mailto:185922280@qq.com " display="185922280@qq.com " r:id="rId119"/>
    <hyperlink xmlns:r="http://schemas.openxmlformats.org/officeDocument/2006/relationships" ref="Z186" display="daiyichao441704@163.com" r:id="rId120"/>
    <hyperlink xmlns:r="http://schemas.openxmlformats.org/officeDocument/2006/relationships" ref="Z188" display="1325626555@qq.com" r:id="rId121"/>
    <hyperlink xmlns:r="http://schemas.openxmlformats.org/officeDocument/2006/relationships" ref="Z189" tooltip="mailto:2998301660@qq.com" display="2998301660@qq.com" r:id="rId122"/>
    <hyperlink xmlns:r="http://schemas.openxmlformats.org/officeDocument/2006/relationships" ref="Z190" display="benkang.cao@foxmail.com" r:id="rId123"/>
    <hyperlink xmlns:r="http://schemas.openxmlformats.org/officeDocument/2006/relationships" ref="Z197" display="2481691777@qq.com" r:id="rId124"/>
    <hyperlink xmlns:r="http://schemas.openxmlformats.org/officeDocument/2006/relationships" ref="Z199" tooltip="mailto:386789766@qq.com" display="386789766@qq.com" r:id="rId125"/>
    <hyperlink xmlns:r="http://schemas.openxmlformats.org/officeDocument/2006/relationships" ref="Z200" display="957357932@qq.com" r:id="rId126"/>
    <hyperlink xmlns:r="http://schemas.openxmlformats.org/officeDocument/2006/relationships" ref="Z201" display="BWY888@foxmail.com" r:id="rId127"/>
    <hyperlink xmlns:r="http://schemas.openxmlformats.org/officeDocument/2006/relationships" ref="Z202" display="2497508270@qq.com" r:id="rId128"/>
    <hyperlink xmlns:r="http://schemas.openxmlformats.org/officeDocument/2006/relationships" ref="Z204" display="15830994199@163.com" r:id="rId129"/>
    <hyperlink xmlns:r="http://schemas.openxmlformats.org/officeDocument/2006/relationships" ref="Z205" display="3068268413@qq.com" r:id="rId130"/>
    <hyperlink xmlns:r="http://schemas.openxmlformats.org/officeDocument/2006/relationships" ref="Z206" display="869833314@qq.com" r:id="rId131"/>
    <hyperlink xmlns:r="http://schemas.openxmlformats.org/officeDocument/2006/relationships" ref="Z208" tooltip="mailto:1091089589@qq.com" display="1091089589@qq.com" r:id="rId132"/>
    <hyperlink xmlns:r="http://schemas.openxmlformats.org/officeDocument/2006/relationships" ref="Z210" display="2216296349@qq.com" r:id="rId133"/>
    <hyperlink xmlns:r="http://schemas.openxmlformats.org/officeDocument/2006/relationships" ref="Z212" tooltip="mailto:2354864803@qq.com" display="2354864803@qq.com" r:id="rId134"/>
    <hyperlink xmlns:r="http://schemas.openxmlformats.org/officeDocument/2006/relationships" ref="Z214" display="kSW0211@163.com" r:id="rId135"/>
    <hyperlink xmlns:r="http://schemas.openxmlformats.org/officeDocument/2006/relationships" ref="Z215" display="2362400293@qq.com" r:id="rId136"/>
    <hyperlink xmlns:r="http://schemas.openxmlformats.org/officeDocument/2006/relationships" ref="Z217" display="wangliu_sheng@163.com" r:id="rId137"/>
    <hyperlink xmlns:r="http://schemas.openxmlformats.org/officeDocument/2006/relationships" ref="Z219" display="895597171@qq.com" r:id="rId138"/>
    <hyperlink xmlns:r="http://schemas.openxmlformats.org/officeDocument/2006/relationships" ref="Z220" tooltip="mailto:17702248964@163.com" display="17702248964@163.com" r:id="rId139"/>
    <hyperlink xmlns:r="http://schemas.openxmlformats.org/officeDocument/2006/relationships" ref="Z221" tooltip="mailto:wz2065858722@163.com&#10;" display="wz2065858722@163.com&#10;" r:id="rId140"/>
    <hyperlink xmlns:r="http://schemas.openxmlformats.org/officeDocument/2006/relationships" ref="Z223" display="1092281350@qq." r:id="rId141"/>
    <hyperlink xmlns:r="http://schemas.openxmlformats.org/officeDocument/2006/relationships" ref="Z228" tooltip="mailto:1320436763@qq.com&#10;" display="1320436763@qq.com&#10;" r:id="rId142"/>
    <hyperlink xmlns:r="http://schemas.openxmlformats.org/officeDocument/2006/relationships" ref="Z233" tooltip="mailto:897516559@qq.com" display="897516559@qq.com" r:id="rId143"/>
    <hyperlink xmlns:r="http://schemas.openxmlformats.org/officeDocument/2006/relationships" ref="Z234" tooltip="mailto:2453555409@qq.com" display="2453555409@qq.com" r:id="rId144"/>
    <hyperlink xmlns:r="http://schemas.openxmlformats.org/officeDocument/2006/relationships" ref="Z240" tooltip="mailto:W19565310725@163.com" display="W19565310725@163.com" r:id="rId145"/>
    <hyperlink xmlns:r="http://schemas.openxmlformats.org/officeDocument/2006/relationships" ref="Z243" tooltip="mailto:1710392025@qq.com" display="1710392025@qq.com" r:id="rId146"/>
    <hyperlink xmlns:r="http://schemas.openxmlformats.org/officeDocument/2006/relationships" ref="Z247" tooltip="mailto:2367531592@qq.com" display="2367531592@qq.com" r:id="rId147"/>
    <hyperlink xmlns:r="http://schemas.openxmlformats.org/officeDocument/2006/relationships" ref="Z248" tooltip="mailto:Wanghengru97@163.com" display="Wanghengru97@163.com" r:id="rId148"/>
    <hyperlink xmlns:r="http://schemas.openxmlformats.org/officeDocument/2006/relationships" ref="Z250" display="1514199864@qq.com" r:id="rId149"/>
    <hyperlink xmlns:r="http://schemas.openxmlformats.org/officeDocument/2006/relationships" ref="Z253" display="zl13234089814@163.com" r:id="rId150"/>
    <hyperlink xmlns:r="http://schemas.openxmlformats.org/officeDocument/2006/relationships" ref="Z255" tooltip="mailto:altliu0113@163.com" display="altliu0113@163.com" r:id="rId151"/>
    <hyperlink xmlns:r="http://schemas.openxmlformats.org/officeDocument/2006/relationships" ref="Z256" display="15324488069@163.com" r:id="rId152"/>
    <hyperlink xmlns:r="http://schemas.openxmlformats.org/officeDocument/2006/relationships" ref="Z257" display="2501844046@qq.com" r:id="rId153"/>
    <hyperlink xmlns:r="http://schemas.openxmlformats.org/officeDocument/2006/relationships" ref="Z258" display="yueliang200024@gmail.com" r:id="rId154"/>
    <hyperlink xmlns:r="http://schemas.openxmlformats.org/officeDocument/2006/relationships" ref="Z259" display="2431222864@qq.com " r:id="rId155"/>
    <hyperlink xmlns:r="http://schemas.openxmlformats.org/officeDocument/2006/relationships" ref="Z260" display="13462974705@163.com" r:id="rId156"/>
    <hyperlink xmlns:r="http://schemas.openxmlformats.org/officeDocument/2006/relationships" ref="Z261" display="isbaweiya@163.com" r:id="rId157"/>
    <hyperlink xmlns:r="http://schemas.openxmlformats.org/officeDocument/2006/relationships" ref="Z262" display="1175706540@qq.com" r:id="rId158"/>
    <hyperlink xmlns:r="http://schemas.openxmlformats.org/officeDocument/2006/relationships" ref="Z263" display="2514935321@qq.com" r:id="rId159"/>
    <hyperlink xmlns:r="http://schemas.openxmlformats.org/officeDocument/2006/relationships" ref="Z264" display="1049609571@qq.com" r:id="rId160"/>
    <hyperlink xmlns:r="http://schemas.openxmlformats.org/officeDocument/2006/relationships" ref="Z266" display="2119610868@qq.com" r:id="rId161"/>
  </hyperlinks>
  <pageMargins left="0.75" right="0.75" top="1" bottom="1" header="0.5" footer="0.5"/>
  <pageSetup orientation="landscape" paperSize="9" scale="10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H149"/>
  <sheetViews>
    <sheetView zoomScale="40" zoomScaleNormal="40" workbookViewId="0">
      <pane xSplit="2" ySplit="2" topLeftCell="Z11" activePane="bottomRight" state="frozen"/>
      <selection activeCell="A1" sqref="A1"/>
      <selection pane="topRight" activeCell="A1" sqref="A1"/>
      <selection pane="bottomLeft" activeCell="A1" sqref="A1"/>
      <selection pane="bottomRight" activeCell="AC25" sqref="AC25"/>
    </sheetView>
  </sheetViews>
  <sheetFormatPr baseColWidth="8" defaultColWidth="9" defaultRowHeight="46" customHeight="1"/>
  <cols>
    <col width="29.1666666666667" customWidth="1" style="136" min="1" max="1"/>
    <col width="111.111111111111" customWidth="1" style="136" min="2" max="2"/>
    <col width="40.1296296296296" customWidth="1" style="136" min="3" max="3"/>
    <col width="35.8333333333333" customWidth="1" style="136" min="4" max="4"/>
    <col width="35.2777777777778" customWidth="1" style="136" min="5" max="6"/>
    <col width="22.1296296296296" customWidth="1" style="136" min="7" max="7"/>
    <col width="10.75" customWidth="1" style="136" min="8" max="8"/>
    <col width="11" customWidth="1" style="136" min="9" max="9"/>
    <col width="17.5" customWidth="1" style="136" min="10" max="12"/>
    <col width="24.6296296296296" customWidth="1" style="136" min="13" max="13"/>
    <col width="16.8796296296296" customWidth="1" style="136" min="14" max="14"/>
    <col width="17.3796296296296" customWidth="1" style="136" min="15" max="15"/>
    <col width="21.3796296296296" customWidth="1" style="136" min="16" max="16"/>
    <col width="12.1388888888889" customWidth="1" style="136" min="17" max="17"/>
    <col width="13.0462962962963" customWidth="1" style="136" min="18" max="18"/>
    <col width="14.75" customWidth="1" style="136" min="19" max="19"/>
    <col width="16.3888888888889" customWidth="1" style="136" min="20" max="20"/>
    <col width="12.1296296296296" customWidth="1" style="136" min="21" max="21"/>
    <col width="31.3888888888889" customWidth="1" style="136" min="22" max="22"/>
    <col width="25.5555555555556" customWidth="1" style="136" min="23" max="23"/>
    <col width="13.5555555555556" customWidth="1" style="136" min="24" max="24"/>
    <col width="60.5555555555556" customWidth="1" style="136" min="25" max="25"/>
    <col width="51.7777777777778" customWidth="1" style="136" min="26" max="26"/>
    <col width="49.3796296296296" customWidth="1" style="136" min="27" max="27"/>
    <col width="39.1666666666667" customWidth="1" style="136" min="28" max="28"/>
    <col width="56.9444444444444" customWidth="1" style="136" min="29" max="29"/>
    <col width="90.8333333333333" customWidth="1" style="136" min="30" max="30"/>
    <col width="62.2222222222222" customWidth="1" style="136" min="31" max="31"/>
    <col width="15.6296296296296" customWidth="1" style="160" min="32" max="32"/>
    <col width="9" customWidth="1" style="136" min="33" max="16384"/>
  </cols>
  <sheetData>
    <row r="1" ht="106" customFormat="1" customHeight="1" s="136">
      <c r="A1" s="138" t="inlineStr">
        <is>
          <t xml:space="preserve">    南 京 文 石 信 息 最 新 职 工 花 名 册-2021年成立开始</t>
        </is>
      </c>
      <c r="B1" s="537" t="n"/>
      <c r="C1" s="537" t="n"/>
      <c r="D1" s="537" t="n"/>
      <c r="E1" s="537" t="n"/>
      <c r="F1" s="537" t="n"/>
      <c r="G1" s="537" t="n"/>
      <c r="H1" s="537" t="n"/>
      <c r="I1" s="537" t="n"/>
      <c r="J1" s="537" t="n"/>
      <c r="K1" s="537" t="n"/>
      <c r="L1" s="537" t="n"/>
      <c r="M1" s="537" t="n"/>
      <c r="N1" s="537" t="n"/>
      <c r="O1" s="537" t="n"/>
      <c r="P1" s="538" t="n"/>
      <c r="AF1" s="160" t="n"/>
    </row>
    <row r="2" customFormat="1" s="136">
      <c r="A2" s="136" t="inlineStr">
        <is>
          <t>序号</t>
        </is>
      </c>
      <c r="B2" s="136" t="inlineStr">
        <is>
          <t>姓名</t>
        </is>
      </c>
      <c r="C2" s="136" t="inlineStr">
        <is>
          <t>社保卡号</t>
        </is>
      </c>
      <c r="D2" s="136" t="inlineStr">
        <is>
          <t>岗位</t>
        </is>
      </c>
      <c r="E2" s="136" t="inlineStr">
        <is>
          <t>入职时间</t>
        </is>
      </c>
      <c r="F2" s="136" t="inlineStr">
        <is>
          <t>转正时间</t>
        </is>
      </c>
      <c r="G2" s="136" t="inlineStr">
        <is>
          <t>开始缴纳月份</t>
        </is>
      </c>
      <c r="H2" s="136" t="inlineStr">
        <is>
          <t>工作地</t>
        </is>
      </c>
      <c r="I2" s="136" t="inlineStr">
        <is>
          <t>社保缴纳地</t>
        </is>
      </c>
      <c r="J2" s="136" t="inlineStr">
        <is>
          <t>试用期薪酬</t>
        </is>
      </c>
      <c r="K2" s="136" t="inlineStr">
        <is>
          <t>转正薪酬</t>
        </is>
      </c>
      <c r="L2" s="136" t="inlineStr">
        <is>
          <t>社保基数</t>
        </is>
      </c>
      <c r="M2" s="136" t="inlineStr">
        <is>
          <t xml:space="preserve">公积金基数 </t>
        </is>
      </c>
      <c r="N2" s="136" t="inlineStr">
        <is>
          <t>五险一金（公司交）</t>
        </is>
      </c>
      <c r="O2" s="136" t="inlineStr">
        <is>
          <t>五险一金（个人交）</t>
        </is>
      </c>
      <c r="P2" s="136" t="inlineStr">
        <is>
          <t>五险一金代缴费用</t>
        </is>
      </c>
      <c r="Q2" s="136" t="inlineStr">
        <is>
          <t>餐补</t>
        </is>
      </c>
      <c r="R2" s="136" t="inlineStr">
        <is>
          <t>交通补</t>
        </is>
      </c>
      <c r="S2" s="136" t="inlineStr">
        <is>
          <t>误餐补</t>
        </is>
      </c>
      <c r="T2" s="136" t="inlineStr">
        <is>
          <t>合同期（年）</t>
        </is>
      </c>
      <c r="U2" s="136" t="inlineStr">
        <is>
          <t>试用期（月）</t>
        </is>
      </c>
      <c r="V2" s="136" t="inlineStr">
        <is>
          <t>专业</t>
        </is>
      </c>
      <c r="W2" s="136" t="inlineStr">
        <is>
          <t>毕业时间</t>
        </is>
      </c>
      <c r="X2" s="136" t="inlineStr">
        <is>
          <t>教育程度</t>
        </is>
      </c>
      <c r="Y2" s="136" t="inlineStr">
        <is>
          <t>邮箱</t>
        </is>
      </c>
      <c r="Z2" s="136" t="inlineStr">
        <is>
          <t>联系地址</t>
        </is>
      </c>
      <c r="AA2" s="136" t="inlineStr">
        <is>
          <t>家庭住址</t>
        </is>
      </c>
      <c r="AB2" s="136" t="inlineStr">
        <is>
          <t>联系方式</t>
        </is>
      </c>
      <c r="AC2" s="136" t="inlineStr">
        <is>
          <t>身份证号码</t>
        </is>
      </c>
      <c r="AD2" s="136" t="inlineStr">
        <is>
          <t>工资卡卡号</t>
        </is>
      </c>
      <c r="AE2" s="136" t="inlineStr">
        <is>
          <t>额外成本</t>
        </is>
      </c>
      <c r="AF2" s="160" t="inlineStr">
        <is>
          <t>离职时间</t>
        </is>
      </c>
      <c r="AG2" s="136" t="inlineStr">
        <is>
          <t>领用资料</t>
        </is>
      </c>
    </row>
    <row r="3" customFormat="1" s="134">
      <c r="A3" s="134" t="n">
        <v>5</v>
      </c>
      <c r="B3" s="134" t="inlineStr">
        <is>
          <t>人事：李诗文（离职）</t>
        </is>
      </c>
      <c r="D3" s="134" t="inlineStr">
        <is>
          <t>人事</t>
        </is>
      </c>
      <c r="E3" s="134" t="inlineStr">
        <is>
          <t>2021年9月10号</t>
        </is>
      </c>
      <c r="F3" s="134" t="inlineStr">
        <is>
          <t>2021年9月10号</t>
        </is>
      </c>
      <c r="G3" s="134" t="inlineStr">
        <is>
          <t>诗文无需缴纳</t>
        </is>
      </c>
      <c r="H3" s="134" t="inlineStr">
        <is>
          <t>南京</t>
        </is>
      </c>
      <c r="I3" s="134" t="inlineStr">
        <is>
          <t>南京</t>
        </is>
      </c>
      <c r="J3" s="134" t="inlineStr">
        <is>
          <t>3000元/月</t>
        </is>
      </c>
      <c r="K3" s="538" t="n"/>
      <c r="L3" s="134" t="inlineStr">
        <is>
          <t>/</t>
        </is>
      </c>
      <c r="M3" s="134" t="inlineStr">
        <is>
          <t>/</t>
        </is>
      </c>
      <c r="P3" s="134" t="inlineStr">
        <is>
          <t>/</t>
        </is>
      </c>
      <c r="Q3" s="134" t="inlineStr">
        <is>
          <t>/</t>
        </is>
      </c>
      <c r="R3" s="537" t="n"/>
      <c r="S3" s="538" t="n"/>
      <c r="AC3" s="134" t="inlineStr">
        <is>
          <t>/</t>
        </is>
      </c>
      <c r="AD3" s="134" t="inlineStr">
        <is>
          <t>兴业银行622908403211827118，中国兴业银行南京六合支行</t>
        </is>
      </c>
      <c r="AE3" s="134" t="inlineStr">
        <is>
          <t>无</t>
        </is>
      </c>
      <c r="AF3" s="139" t="n"/>
    </row>
    <row r="4" customFormat="1" s="134">
      <c r="A4" s="134" t="n">
        <v>1</v>
      </c>
      <c r="B4" s="134" t="inlineStr">
        <is>
          <t>张霞云</t>
        </is>
      </c>
      <c r="C4" s="134" t="inlineStr">
        <is>
          <t>0001736624医保卡</t>
        </is>
      </c>
      <c r="D4" s="134" t="inlineStr">
        <is>
          <t>/</t>
        </is>
      </c>
      <c r="E4" s="134" t="inlineStr">
        <is>
          <t>2022年8月15</t>
        </is>
      </c>
      <c r="F4" s="134" t="inlineStr">
        <is>
          <t>医保卡写2022年9月15</t>
        </is>
      </c>
      <c r="G4" s="134" t="inlineStr">
        <is>
          <t>2022/8月</t>
        </is>
      </c>
      <c r="H4" s="134" t="inlineStr">
        <is>
          <t>南京</t>
        </is>
      </c>
      <c r="I4" s="134" t="inlineStr">
        <is>
          <t>南京</t>
        </is>
      </c>
      <c r="L4" s="134" t="n">
        <v>4250</v>
      </c>
      <c r="M4" s="134" t="inlineStr">
        <is>
          <t>2280（10%）</t>
        </is>
      </c>
      <c r="N4" s="134" t="n">
        <v>1320.25</v>
      </c>
      <c r="O4" s="134" t="n">
        <v>684.25</v>
      </c>
      <c r="P4" s="134" t="inlineStr">
        <is>
          <t>0/月</t>
        </is>
      </c>
      <c r="Q4" s="134" t="n">
        <v>0</v>
      </c>
      <c r="R4" s="134" t="n">
        <v>0</v>
      </c>
      <c r="S4" s="134" t="n">
        <v>0</v>
      </c>
      <c r="Y4" s="134" t="inlineStr">
        <is>
          <t>、</t>
        </is>
      </c>
      <c r="Z4" s="134" t="inlineStr">
        <is>
          <t>南京市栖霞区南砖新村14幢306室</t>
        </is>
      </c>
      <c r="AA4" s="134" t="inlineStr">
        <is>
          <t>南京市栖霞区南砖新村14幢306室</t>
        </is>
      </c>
      <c r="AB4" s="134" t="n">
        <v>13770599235</v>
      </c>
      <c r="AC4" s="518" t="inlineStr">
        <is>
          <t>321283198103130443</t>
        </is>
      </c>
      <c r="AF4" s="139" t="n"/>
    </row>
    <row r="5" customFormat="1" s="136">
      <c r="A5" s="136" t="n">
        <v>2</v>
      </c>
      <c r="B5" s="136" t="inlineStr">
        <is>
          <t>汪汉平</t>
        </is>
      </c>
      <c r="C5" s="136" t="inlineStr">
        <is>
          <t>1885035609医保卡 （公积金3201000367085807）</t>
        </is>
      </c>
      <c r="D5" s="136" t="inlineStr">
        <is>
          <t>ceo</t>
        </is>
      </c>
      <c r="E5" s="140" t="n">
        <v>44927</v>
      </c>
      <c r="G5" s="136" t="inlineStr">
        <is>
          <t>2023/1月</t>
        </is>
      </c>
      <c r="H5" s="136" t="inlineStr">
        <is>
          <t>南京</t>
        </is>
      </c>
      <c r="I5" s="136" t="inlineStr">
        <is>
          <t>南京</t>
        </is>
      </c>
      <c r="L5" s="136" t="n">
        <v>4439</v>
      </c>
      <c r="M5" s="136" t="inlineStr">
        <is>
          <t>/</t>
        </is>
      </c>
      <c r="T5" s="136" t="n">
        <v>3</v>
      </c>
      <c r="U5" s="136" t="inlineStr">
        <is>
          <t>0 无试用期</t>
        </is>
      </c>
      <c r="V5" s="136" t="inlineStr">
        <is>
          <t>计算机</t>
        </is>
      </c>
      <c r="AB5" s="136" t="n">
        <v>18751880368</v>
      </c>
      <c r="AC5" s="521" t="inlineStr">
        <is>
          <t>340823199201104410</t>
        </is>
      </c>
      <c r="AD5" s="136" t="inlineStr">
        <is>
          <t>汪汉平建行6236681370002325527</t>
        </is>
      </c>
      <c r="AF5" s="160" t="n"/>
    </row>
    <row r="6" ht="75" customFormat="1" customHeight="1" s="134">
      <c r="A6" s="134" t="n">
        <v>3</v>
      </c>
      <c r="B6" s="134" t="inlineStr">
        <is>
          <t>罗仕香</t>
        </is>
      </c>
      <c r="D6" s="134" t="inlineStr">
        <is>
          <t>HR</t>
        </is>
      </c>
      <c r="E6" s="141" t="n">
        <v>45352</v>
      </c>
      <c r="F6" s="142" t="inlineStr">
        <is>
          <t>2024/4/1离职继续缴纳社保</t>
        </is>
      </c>
      <c r="G6" s="134" t="inlineStr">
        <is>
          <t>2024/3月</t>
        </is>
      </c>
      <c r="H6" s="134" t="inlineStr">
        <is>
          <t>南京</t>
        </is>
      </c>
      <c r="I6" s="134" t="inlineStr">
        <is>
          <t>南京</t>
        </is>
      </c>
      <c r="L6" s="134" t="n">
        <v>4439</v>
      </c>
      <c r="M6" s="134" t="inlineStr">
        <is>
          <t>/</t>
        </is>
      </c>
      <c r="T6" s="134" t="n">
        <v>3</v>
      </c>
      <c r="U6" s="134" t="inlineStr">
        <is>
          <t>0 无试用期</t>
        </is>
      </c>
      <c r="V6" s="134" t="inlineStr">
        <is>
          <t>环境艺术设计</t>
        </is>
      </c>
      <c r="X6" s="134" t="inlineStr">
        <is>
          <t>大专</t>
        </is>
      </c>
      <c r="AB6" s="134" t="n">
        <v>18020145512</v>
      </c>
      <c r="AC6" s="134" t="inlineStr">
        <is>
          <t>34262519990216142X</t>
        </is>
      </c>
      <c r="AD6" s="143" t="inlineStr">
        <is>
          <t>卡号:6217 68051460 0712
开户行:中信银行南京江北新区分行营业部</t>
        </is>
      </c>
      <c r="AF6" s="139" t="n"/>
    </row>
    <row r="7" customFormat="1" s="134">
      <c r="A7" s="134" t="n">
        <v>4</v>
      </c>
      <c r="B7" s="134" t="inlineStr">
        <is>
          <t>陈雪芬</t>
        </is>
      </c>
      <c r="D7" s="134" t="inlineStr">
        <is>
          <t>运营</t>
        </is>
      </c>
      <c r="E7" s="141" t="n">
        <v>45383</v>
      </c>
      <c r="F7" s="134" t="inlineStr">
        <is>
          <t>缴纳社保</t>
        </is>
      </c>
      <c r="G7" s="134" t="inlineStr">
        <is>
          <t>2024/4月</t>
        </is>
      </c>
      <c r="H7" s="134" t="inlineStr">
        <is>
          <t>南京</t>
        </is>
      </c>
      <c r="I7" s="134" t="inlineStr">
        <is>
          <t>南京</t>
        </is>
      </c>
      <c r="L7" s="134" t="n">
        <v>4439</v>
      </c>
      <c r="T7" s="134" t="n">
        <v>3</v>
      </c>
      <c r="U7" s="134" t="inlineStr">
        <is>
          <t>1 无试用期</t>
        </is>
      </c>
      <c r="V7" s="134" t="inlineStr">
        <is>
          <t>广编</t>
        </is>
      </c>
      <c r="X7" s="134" t="inlineStr">
        <is>
          <t>本科</t>
        </is>
      </c>
      <c r="AA7" s="134" t="inlineStr">
        <is>
          <t>安徽省芜湖市鸠江区白茆镇复凝行政村第六自然村032</t>
        </is>
      </c>
      <c r="AB7" s="134" t="n">
        <v>17366386575</v>
      </c>
      <c r="AC7" s="134" t="inlineStr">
        <is>
          <t>34262319920925852X</t>
        </is>
      </c>
      <c r="AD7" s="134" t="inlineStr">
        <is>
          <t>陈雪芬建行‘6215340302630644729</t>
        </is>
      </c>
      <c r="AE7" s="134" t="inlineStr">
        <is>
          <t>从4月到9月 10月份停  目前钱已交给我</t>
        </is>
      </c>
      <c r="AF7" s="139" t="n"/>
    </row>
    <row r="8" customFormat="1" s="135">
      <c r="A8" s="136" t="n">
        <v>6</v>
      </c>
      <c r="B8" s="136" t="inlineStr">
        <is>
          <t>陆龙杰</t>
        </is>
      </c>
      <c r="C8" s="136" t="n"/>
      <c r="D8" s="136" t="inlineStr">
        <is>
          <t>工程师</t>
        </is>
      </c>
      <c r="E8" s="140" t="inlineStr">
        <is>
          <t>2021年9月10号</t>
        </is>
      </c>
      <c r="F8" s="136" t="inlineStr">
        <is>
          <t>2021年9月11号</t>
        </is>
      </c>
      <c r="G8" s="136" t="inlineStr">
        <is>
          <t>诗文无需缴纳</t>
        </is>
      </c>
      <c r="H8" s="136" t="inlineStr">
        <is>
          <t>南京</t>
        </is>
      </c>
      <c r="I8" s="136" t="inlineStr">
        <is>
          <t>南京</t>
        </is>
      </c>
      <c r="J8" s="136" t="inlineStr">
        <is>
          <t>3500元/月</t>
        </is>
      </c>
      <c r="K8" s="538" t="n"/>
      <c r="L8" s="136" t="inlineStr">
        <is>
          <t>/</t>
        </is>
      </c>
      <c r="M8" s="136" t="inlineStr">
        <is>
          <t>/</t>
        </is>
      </c>
      <c r="N8" s="136" t="n"/>
      <c r="O8" s="136" t="n"/>
      <c r="P8" s="136" t="inlineStr">
        <is>
          <t>/</t>
        </is>
      </c>
      <c r="Q8" s="136" t="inlineStr">
        <is>
          <t>/</t>
        </is>
      </c>
      <c r="R8" s="537" t="n"/>
      <c r="S8" s="538" t="n"/>
      <c r="T8" s="136" t="n"/>
      <c r="U8" s="136" t="n"/>
      <c r="V8" s="136" t="inlineStr">
        <is>
          <t>软件技术</t>
        </is>
      </c>
      <c r="W8" s="136" t="n"/>
      <c r="X8" s="136" t="n"/>
      <c r="Y8" s="136" t="n"/>
      <c r="Z8" s="136" t="n"/>
      <c r="AA8" s="136" t="n"/>
      <c r="AB8" s="136" t="n">
        <v>18269702448</v>
      </c>
      <c r="AC8" s="521" t="inlineStr">
        <is>
          <t>340823200003304417</t>
        </is>
      </c>
      <c r="AD8" s="161" t="inlineStr">
        <is>
          <t>中国农业银行6230520660036053378
建设银行6217001370061139028</t>
        </is>
      </c>
      <c r="AE8" s="136" t="inlineStr">
        <is>
          <t>医保卡1893689591</t>
        </is>
      </c>
      <c r="AF8" s="145" t="inlineStr">
        <is>
          <t>中国农业银行股份有限公司合肥自贸试验区支行</t>
        </is>
      </c>
    </row>
    <row r="9" customFormat="1" s="134">
      <c r="A9" s="134" t="n">
        <v>7</v>
      </c>
      <c r="B9" s="143" t="inlineStr">
        <is>
          <t xml:space="preserve">伍小敏
第一次合同：2023.8.15-2024.8.14日
第二次合同：2025.8.15-2025.8.14日主动离职了
</t>
        </is>
      </c>
      <c r="C9" s="134" t="inlineStr">
        <is>
          <t>（公积金3201000598704643）</t>
        </is>
      </c>
      <c r="D9" s="134" t="inlineStr">
        <is>
          <t>手串主播</t>
        </is>
      </c>
      <c r="E9" s="141" t="inlineStr">
        <is>
          <t>2023.8.15</t>
        </is>
      </c>
      <c r="F9" s="134" t="inlineStr">
        <is>
          <t>2023.10.1开始转正工资</t>
        </is>
      </c>
      <c r="G9" s="134" t="inlineStr">
        <is>
          <t>2023/10月</t>
        </is>
      </c>
      <c r="H9" s="134" t="inlineStr">
        <is>
          <t>南京</t>
        </is>
      </c>
      <c r="I9" s="134" t="inlineStr">
        <is>
          <t>南京</t>
        </is>
      </c>
      <c r="J9" s="134" t="n">
        <v>6400</v>
      </c>
      <c r="K9" s="134" t="n">
        <v>8000</v>
      </c>
      <c r="L9" s="134" t="n">
        <v>4439</v>
      </c>
      <c r="M9" s="134" t="n">
        <v>2280</v>
      </c>
      <c r="N9" s="134" t="n">
        <v>1110.02</v>
      </c>
      <c r="O9" s="134" t="n">
        <v>481.87</v>
      </c>
      <c r="P9" s="134" t="inlineStr">
        <is>
          <t>/</t>
        </is>
      </c>
      <c r="Q9" s="134" t="inlineStr">
        <is>
          <t>/</t>
        </is>
      </c>
      <c r="R9" s="134" t="inlineStr">
        <is>
          <t>/</t>
        </is>
      </c>
      <c r="S9" s="134" t="inlineStr">
        <is>
          <t>/</t>
        </is>
      </c>
      <c r="T9" s="134" t="n">
        <v>3</v>
      </c>
      <c r="U9" s="134" t="n">
        <v>3</v>
      </c>
      <c r="V9" s="134" t="inlineStr">
        <is>
          <t>播音主持</t>
        </is>
      </c>
      <c r="W9" s="134" t="n">
        <v>41821</v>
      </c>
      <c r="X9" s="134" t="inlineStr">
        <is>
          <t>本科</t>
        </is>
      </c>
      <c r="Y9" s="134" t="inlineStr">
        <is>
          <t>670952083@qq.com</t>
        </is>
      </c>
      <c r="Z9" s="134" t="inlineStr">
        <is>
          <t>莱蒙水榭阳光</t>
        </is>
      </c>
      <c r="AA9" s="134" t="inlineStr">
        <is>
          <t>安徽省芜湖市鸠江区清水镇方局行政村西闸自然村25号</t>
        </is>
      </c>
      <c r="AB9" s="134" t="n">
        <v>17612586070</v>
      </c>
      <c r="AC9" s="518" t="inlineStr">
        <is>
          <t>340221199109013385</t>
        </is>
      </c>
      <c r="AD9" s="134" t="inlineStr">
        <is>
          <t>建行芜湖新时代支行6217001650003012403</t>
        </is>
      </c>
      <c r="AF9" s="139" t="n"/>
    </row>
    <row r="10" customFormat="1" s="136">
      <c r="A10" s="136" t="n">
        <v>8</v>
      </c>
      <c r="B10" s="136" t="inlineStr">
        <is>
          <t>王莉萍2026.5.25日lastday，薪资发放到5月26日</t>
        </is>
      </c>
      <c r="D10" s="136" t="inlineStr">
        <is>
          <t>HR</t>
        </is>
      </c>
      <c r="E10" s="140" t="inlineStr">
        <is>
          <t>2024.6.11</t>
        </is>
      </c>
      <c r="F10" s="136" t="n"/>
      <c r="G10" s="136" t="inlineStr">
        <is>
          <t>2024/8月</t>
        </is>
      </c>
      <c r="H10" s="136" t="inlineStr">
        <is>
          <t>南京</t>
        </is>
      </c>
      <c r="I10" s="136" t="inlineStr">
        <is>
          <t>南京</t>
        </is>
      </c>
      <c r="Q10" s="136" t="inlineStr">
        <is>
          <t>/</t>
        </is>
      </c>
      <c r="R10" s="136" t="inlineStr">
        <is>
          <t>/</t>
        </is>
      </c>
      <c r="S10" s="136" t="inlineStr">
        <is>
          <t>/</t>
        </is>
      </c>
      <c r="V10" s="136" t="inlineStr">
        <is>
          <t xml:space="preserve"> 建筑电气工程技术</t>
        </is>
      </c>
      <c r="W10" s="136" t="n"/>
      <c r="AB10" s="136" t="n">
        <v>19741003677</v>
      </c>
      <c r="AC10" s="521" t="inlineStr">
        <is>
          <t>320321200209293625</t>
        </is>
      </c>
      <c r="AD10" s="136" t="inlineStr">
        <is>
          <t>中国建设银行6217001370058916123</t>
        </is>
      </c>
      <c r="AF10" s="160" t="n"/>
    </row>
    <row r="11" customFormat="1" s="136">
      <c r="B11" s="136" t="inlineStr">
        <is>
          <t>谭宇阳</t>
        </is>
      </c>
      <c r="D11" s="136" t="inlineStr">
        <is>
          <t>场控</t>
        </is>
      </c>
      <c r="E11" s="140" t="inlineStr">
        <is>
          <t>_2025.9.9</t>
        </is>
      </c>
      <c r="F11" s="136" t="n"/>
      <c r="G11" s="136" t="inlineStr">
        <is>
          <t>兼职不缴纳</t>
        </is>
      </c>
      <c r="H11" s="136" t="inlineStr">
        <is>
          <t>南京</t>
        </is>
      </c>
      <c r="I11" s="136" t="inlineStr">
        <is>
          <t>南京</t>
        </is>
      </c>
      <c r="Q11" s="136" t="inlineStr">
        <is>
          <t>/</t>
        </is>
      </c>
      <c r="R11" s="136" t="inlineStr">
        <is>
          <t>/</t>
        </is>
      </c>
      <c r="S11" s="136" t="inlineStr">
        <is>
          <t>/</t>
        </is>
      </c>
      <c r="T11" s="136" t="inlineStr">
        <is>
          <t>兼职</t>
        </is>
      </c>
      <c r="U11" s="136" t="inlineStr">
        <is>
          <t>兼职</t>
        </is>
      </c>
      <c r="V11" s="136" t="inlineStr">
        <is>
          <t>计算机科学与技术</t>
        </is>
      </c>
      <c r="W11" s="136" t="n">
        <v>2026.6</v>
      </c>
      <c r="X11" s="136" t="inlineStr">
        <is>
          <t>本科</t>
        </is>
      </c>
      <c r="Y11" s="136" t="inlineStr">
        <is>
          <t xml:space="preserve"> 1843493920@qq.com</t>
        </is>
      </c>
      <c r="Z11" s="136" t="inlineStr">
        <is>
          <t>南京市江宁区淳化街道弘景大道99号金陵科技学院</t>
        </is>
      </c>
      <c r="AA11" s="161" t="inlineStr">
        <is>
          <t>江苏省泰兴市分界镇七贤
村时岱八组12-2号</t>
        </is>
      </c>
      <c r="AB11" s="136" t="n">
        <v>19551197279</v>
      </c>
      <c r="AC11" s="521" t="inlineStr">
        <is>
          <t>321283200312311611</t>
        </is>
      </c>
      <c r="AD11" s="136" t="inlineStr">
        <is>
          <t>建行6217 0013 7006 2213 376</t>
        </is>
      </c>
      <c r="AF11" s="160" t="n"/>
    </row>
    <row r="12" customFormat="1" s="136">
      <c r="B12" s="136" t="inlineStr">
        <is>
          <t>王吉斌</t>
        </is>
      </c>
      <c r="C12" s="136" t="n"/>
      <c r="D12" s="136" t="inlineStr">
        <is>
          <t>运营</t>
        </is>
      </c>
      <c r="E12" s="140" t="inlineStr">
        <is>
          <t>2025.10.9</t>
        </is>
      </c>
      <c r="F12" s="136" t="n"/>
      <c r="G12" s="136" t="inlineStr">
        <is>
          <t>2025年10月份</t>
        </is>
      </c>
      <c r="H12" s="136" t="inlineStr">
        <is>
          <t>南京</t>
        </is>
      </c>
      <c r="I12" s="136" t="inlineStr">
        <is>
          <t>南京</t>
        </is>
      </c>
      <c r="J12" s="136" t="n">
        <v>8000</v>
      </c>
      <c r="K12" s="136" t="n">
        <v>8000</v>
      </c>
      <c r="Q12" s="136" t="inlineStr">
        <is>
          <t>/</t>
        </is>
      </c>
      <c r="R12" s="136" t="inlineStr">
        <is>
          <t>/</t>
        </is>
      </c>
      <c r="S12" s="136" t="inlineStr">
        <is>
          <t>/</t>
        </is>
      </c>
      <c r="T12" s="136" t="n">
        <v>3</v>
      </c>
      <c r="U12" s="136" t="n">
        <v>6</v>
      </c>
      <c r="V12" s="136" t="inlineStr">
        <is>
          <t xml:space="preserve"> 建筑电气与智能化</t>
        </is>
      </c>
      <c r="W12" s="136" t="n">
        <v>2018</v>
      </c>
      <c r="X12" s="136" t="inlineStr">
        <is>
          <t>本科</t>
        </is>
      </c>
      <c r="Y12" s="136" t="inlineStr">
        <is>
          <t>1170469459@qq.com</t>
        </is>
      </c>
      <c r="Z12" s="136" t="inlineStr">
        <is>
          <t xml:space="preserve"> 江苏省南京市江宁区东流紫园荣景苑1幢1702</t>
        </is>
      </c>
      <c r="AA12" s="136" t="inlineStr">
        <is>
          <t xml:space="preserve"> 甘肃省永昌县六坝乡与保存四社1号</t>
        </is>
      </c>
      <c r="AB12" s="136" t="n">
        <v>13382024389</v>
      </c>
      <c r="AC12" s="521" t="inlineStr">
        <is>
          <t>620321199606102437</t>
        </is>
      </c>
      <c r="AD12" s="136" t="inlineStr">
        <is>
          <t>6217004370000606225中国建设银行永昌支行</t>
        </is>
      </c>
      <c r="AF12" s="160" t="n"/>
    </row>
    <row r="13" customFormat="1" s="136">
      <c r="B13" s="136" t="inlineStr">
        <is>
          <t>沈珍珍</t>
        </is>
      </c>
      <c r="C13" s="161" t="inlineStr">
        <is>
          <t>沈珍珍-招聘专员
薪资：7k【基本薪资4950+绩效1200（3个长期岗位人头/月）+社保补贴550+公积金补贴300】，签订三年合同，试用期6个月，前3个月8折。正常完成绩效一个月年终奖
到岗时间：2025年9月24日，10月开始缴纳五险一金</t>
        </is>
      </c>
      <c r="D13" s="136" t="inlineStr">
        <is>
          <t>HR</t>
        </is>
      </c>
      <c r="E13" s="140" t="inlineStr">
        <is>
          <t>2025.9.24</t>
        </is>
      </c>
      <c r="F13" s="136" t="inlineStr">
        <is>
          <t>2026.3.23</t>
        </is>
      </c>
      <c r="G13" s="136" t="inlineStr">
        <is>
          <t>2025/10月</t>
        </is>
      </c>
      <c r="H13" s="136" t="inlineStr">
        <is>
          <t>南京</t>
        </is>
      </c>
      <c r="I13" s="136" t="inlineStr">
        <is>
          <t>南京</t>
        </is>
      </c>
      <c r="J13" s="136" t="n">
        <v>5600</v>
      </c>
      <c r="K13" s="136" t="n">
        <v>7000</v>
      </c>
      <c r="Q13" s="136" t="inlineStr">
        <is>
          <t>/</t>
        </is>
      </c>
      <c r="R13" s="136" t="inlineStr">
        <is>
          <t>/</t>
        </is>
      </c>
      <c r="S13" s="136" t="inlineStr">
        <is>
          <t>/</t>
        </is>
      </c>
      <c r="T13" s="136" t="n">
        <v>3</v>
      </c>
      <c r="U13" s="136" t="n">
        <v>6</v>
      </c>
      <c r="V13" s="12" t="inlineStr">
        <is>
          <t>人力资源</t>
        </is>
      </c>
      <c r="W13" s="136" t="n"/>
      <c r="Y13" s="136" t="inlineStr">
        <is>
          <t>1713084282@qq.com</t>
        </is>
      </c>
      <c r="Z13" s="136" t="inlineStr">
        <is>
          <t>南京市雨花台区东升山庄3栋1102</t>
        </is>
      </c>
      <c r="AA13" s="136" t="inlineStr">
        <is>
          <t>甘肃省永登县兰州新区上川镇红井槽村</t>
        </is>
      </c>
      <c r="AB13" s="136" t="n">
        <v>18552271087</v>
      </c>
      <c r="AC13" s="521" t="inlineStr">
        <is>
          <t>622926199307010643</t>
        </is>
      </c>
      <c r="AD13" s="136" t="inlineStr">
        <is>
          <t>中国建设银行扬州邗城支行6217001330006426930</t>
        </is>
      </c>
      <c r="AF13" s="160" t="n"/>
    </row>
    <row r="14" customFormat="1" s="136">
      <c r="B14" s="161" t="inlineStr">
        <is>
          <t>梁照坤-前3个月起，基本工资3500元/月，绩效工资1500元/月，社保补贴700元/月，公积金补贴300元/月，合计6000元/月。
第4个月起，基本工资5000元/月，绩效工资1500元/月，社保补贴700元/月，公积金补贴300元/月，合计7500元/月。</t>
        </is>
      </c>
      <c r="D14" s="136" t="inlineStr">
        <is>
          <t>HR</t>
        </is>
      </c>
      <c r="E14" s="140" t="inlineStr">
        <is>
          <t>2026.3.6</t>
        </is>
      </c>
      <c r="G14" s="140" t="inlineStr">
        <is>
          <t>2026.3月</t>
        </is>
      </c>
      <c r="H14" s="136" t="inlineStr">
        <is>
          <t>南京</t>
        </is>
      </c>
      <c r="I14" s="136" t="inlineStr">
        <is>
          <t>南京</t>
        </is>
      </c>
      <c r="J14" s="136" t="n">
        <v>6000</v>
      </c>
      <c r="K14" s="136" t="n">
        <v>7500</v>
      </c>
      <c r="T14" s="136" t="n">
        <v>3</v>
      </c>
      <c r="U14" s="136" t="n">
        <v>6</v>
      </c>
      <c r="V14" s="146" t="inlineStr">
        <is>
          <t>人力资源管理</t>
        </is>
      </c>
      <c r="W14" s="136" t="n">
        <v>2019.6</v>
      </c>
      <c r="X14" s="12" t="inlineStr">
        <is>
          <t>本科</t>
        </is>
      </c>
      <c r="Y14" s="464" t="inlineStr">
        <is>
          <t>1037388670@qq.com</t>
        </is>
      </c>
      <c r="Z14" s="136" t="inlineStr">
        <is>
          <t xml:space="preserve">南京市江宁区盈嘉青春渡a栋818 </t>
        </is>
      </c>
      <c r="AA14" s="136" t="inlineStr">
        <is>
          <t>安徽省六安市霍邱县乌龙镇乌龙村汪小庄组</t>
        </is>
      </c>
      <c r="AB14" s="136" t="n">
        <v>18205164173</v>
      </c>
      <c r="AC14" s="521" t="inlineStr">
        <is>
          <t>342423199605263979</t>
        </is>
      </c>
      <c r="AD14" s="136" t="inlineStr">
        <is>
          <t>6215340302645202547中国建设银行南京江宁支行</t>
        </is>
      </c>
      <c r="AF14" s="160" t="n"/>
    </row>
    <row r="15" customFormat="1" s="136">
      <c r="B15" s="136" t="inlineStr">
        <is>
          <t>黄佳娣，无试用期工资5500</t>
        </is>
      </c>
      <c r="D15" s="136" t="inlineStr">
        <is>
          <t>HR</t>
        </is>
      </c>
      <c r="E15" s="140" t="inlineStr">
        <is>
          <t>2026.3.9</t>
        </is>
      </c>
      <c r="G15" s="140" t="inlineStr">
        <is>
          <t>2026.3月</t>
        </is>
      </c>
      <c r="H15" s="136" t="inlineStr">
        <is>
          <t>南京</t>
        </is>
      </c>
      <c r="I15" s="136" t="inlineStr">
        <is>
          <t>南京</t>
        </is>
      </c>
      <c r="J15" s="136" t="n">
        <v>5500</v>
      </c>
      <c r="K15" s="136" t="n">
        <v>5500</v>
      </c>
      <c r="T15" s="136" t="n">
        <v>3</v>
      </c>
      <c r="U15" s="136" t="n">
        <v>6</v>
      </c>
      <c r="V15" s="146" t="inlineStr">
        <is>
          <t>计算机科学与技术</t>
        </is>
      </c>
      <c r="W15" s="136" t="inlineStr">
        <is>
          <t xml:space="preserve"> 2019.6.30</t>
        </is>
      </c>
      <c r="X15" s="136" t="inlineStr">
        <is>
          <t>本科</t>
        </is>
      </c>
      <c r="Y15" s="464" t="inlineStr">
        <is>
          <t>2358336330@qq.com</t>
        </is>
      </c>
      <c r="Z15" s="136" t="inlineStr">
        <is>
          <t>江苏省南京市浦口区天润城十六街区南区22栋2单元1206</t>
        </is>
      </c>
      <c r="AA15" s="136" t="inlineStr">
        <is>
          <t>江苏省启东市合作镇达育村八组160号</t>
        </is>
      </c>
      <c r="AB15" s="136" t="n">
        <v>15850763616</v>
      </c>
      <c r="AC15" s="521" t="inlineStr">
        <is>
          <t>320681199604183829</t>
        </is>
      </c>
      <c r="AD15" s="136" t="inlineStr">
        <is>
          <t>中国建设银行泰山新村支行6215340302644110170</t>
        </is>
      </c>
      <c r="AF15" s="160" t="n"/>
    </row>
    <row r="16" customFormat="1" s="134">
      <c r="B16" s="134" t="inlineStr">
        <is>
          <t>王琳2025.12.1离职</t>
        </is>
      </c>
      <c r="C16" s="134" t="inlineStr">
        <is>
          <t>薪资：4.5k【基本薪资3200+绩效1200（3个长期岗位人头月）+公积金补贴100】，签订三年合同，试用期6个月，前3个月8折。正常完成绩效一个月年终奖</t>
        </is>
      </c>
      <c r="D16" s="134" t="inlineStr">
        <is>
          <t>HR</t>
        </is>
      </c>
      <c r="E16" s="141" t="inlineStr">
        <is>
          <t>2025.10.13</t>
        </is>
      </c>
      <c r="F16" s="134" t="n"/>
      <c r="G16" s="134" t="inlineStr">
        <is>
          <t>2025/10月</t>
        </is>
      </c>
      <c r="H16" s="134" t="inlineStr">
        <is>
          <t>南京</t>
        </is>
      </c>
      <c r="I16" s="134" t="inlineStr">
        <is>
          <t>南京</t>
        </is>
      </c>
      <c r="J16" s="134">
        <f>4500*0.8</f>
        <v/>
      </c>
      <c r="K16" s="134" t="n">
        <v>4500</v>
      </c>
      <c r="Q16" s="134" t="inlineStr">
        <is>
          <t>/</t>
        </is>
      </c>
      <c r="R16" s="134" t="inlineStr">
        <is>
          <t>/</t>
        </is>
      </c>
      <c r="S16" s="134" t="inlineStr">
        <is>
          <t>/</t>
        </is>
      </c>
      <c r="T16" s="134" t="n">
        <v>3</v>
      </c>
      <c r="U16" s="134" t="n">
        <v>6</v>
      </c>
      <c r="V16" s="134" t="inlineStr">
        <is>
          <t>人力资源管理</t>
        </is>
      </c>
      <c r="W16" s="134" t="n">
        <v>2024.06</v>
      </c>
      <c r="X16" s="134" t="inlineStr">
        <is>
          <t xml:space="preserve"> 本科</t>
        </is>
      </c>
      <c r="Y16" s="134" t="inlineStr">
        <is>
          <t>1670295849@qq.com</t>
        </is>
      </c>
      <c r="Z16" s="134" t="inlineStr">
        <is>
          <t>江苏省南京市建邺区沙洲街道清荷园北园12幢1单元2605</t>
        </is>
      </c>
      <c r="AA16" s="134" t="inlineStr">
        <is>
          <t>黑龙江省哈尔滨市木兰镇人民街四委三十一组</t>
        </is>
      </c>
      <c r="AB16" s="134" t="n">
        <v>15146051231</v>
      </c>
      <c r="AC16" s="134" t="inlineStr">
        <is>
          <t xml:space="preserve"> 23012720021126022X</t>
        </is>
      </c>
      <c r="AD16" s="134" t="inlineStr">
        <is>
          <t>王琳‘6217001140046254998中国建设银行</t>
        </is>
      </c>
      <c r="AF16" s="139" t="n"/>
    </row>
    <row r="17" customFormat="1" s="134">
      <c r="B17" s="134" t="inlineStr">
        <is>
          <t>王文倩2025.12.19离职</t>
        </is>
      </c>
      <c r="C17" s="143" t="inlineStr">
        <is>
          <t>试用期:基本工资4000元/月，绩效工资1000元/月，社保补贴700元/月，公积金补贴300元/月，合计6000元/月。
转正:基本工资5500元/月，绩效工资1000元/月，社保补贴700元/月，公积金补贴300元/月，合计7500元/月。</t>
        </is>
      </c>
      <c r="D17" s="134" t="inlineStr">
        <is>
          <t>HR</t>
        </is>
      </c>
      <c r="E17" s="141" t="inlineStr">
        <is>
          <t>2025.12.08</t>
        </is>
      </c>
      <c r="F17" s="134" t="n"/>
      <c r="G17" s="134" t="inlineStr">
        <is>
          <t>2025/12月</t>
        </is>
      </c>
      <c r="H17" s="134" t="inlineStr">
        <is>
          <t>南京</t>
        </is>
      </c>
      <c r="I17" s="134" t="inlineStr">
        <is>
          <t>南京</t>
        </is>
      </c>
      <c r="J17" s="134" t="n">
        <v>6000</v>
      </c>
      <c r="K17" s="134" t="n">
        <v>7500</v>
      </c>
      <c r="T17" s="134" t="n">
        <v>3</v>
      </c>
      <c r="U17" s="134" t="n">
        <v>6</v>
      </c>
      <c r="V17" s="134" t="inlineStr">
        <is>
          <t>会计</t>
        </is>
      </c>
      <c r="W17" s="134" t="n">
        <v>2018</v>
      </c>
      <c r="X17" s="134" t="inlineStr">
        <is>
          <t>本科</t>
        </is>
      </c>
      <c r="Y17" s="134" t="inlineStr">
        <is>
          <t>842841666@qq.com</t>
        </is>
      </c>
      <c r="Z17" s="134" t="inlineStr">
        <is>
          <t xml:space="preserve"> 江苏省南京市鼓楼区热河南路110号3单元401</t>
        </is>
      </c>
      <c r="AA17" s="134" t="inlineStr">
        <is>
          <t xml:space="preserve"> 江苏省南京市鼓楼区热河南路110号3单元401</t>
        </is>
      </c>
      <c r="AB17" s="134" t="n">
        <v>13405822181</v>
      </c>
      <c r="AC17" s="134" t="inlineStr">
        <is>
          <t>；320107199311201826</t>
        </is>
      </c>
      <c r="AD17" s="134" t="inlineStr">
        <is>
          <t>王文倩6217001370056321979建行南京玄武支行</t>
        </is>
      </c>
      <c r="AF17" s="139" t="n"/>
    </row>
    <row r="18" customFormat="1" s="134">
      <c r="B18" s="134" t="inlineStr">
        <is>
          <t>武晓可2026.2.2已个人原因离职</t>
        </is>
      </c>
      <c r="C18" s="143" t="n"/>
      <c r="E18" s="141" t="inlineStr">
        <is>
          <t>2025.12.15</t>
        </is>
      </c>
      <c r="G18" s="134" t="inlineStr">
        <is>
          <t>2025/12月</t>
        </is>
      </c>
      <c r="H18" s="134" t="inlineStr">
        <is>
          <t>南京</t>
        </is>
      </c>
      <c r="I18" s="134" t="inlineStr">
        <is>
          <t>南京</t>
        </is>
      </c>
      <c r="J18" s="134" t="n">
        <v>3500</v>
      </c>
      <c r="Q18" s="134" t="inlineStr">
        <is>
          <t>/</t>
        </is>
      </c>
      <c r="R18" s="134" t="inlineStr">
        <is>
          <t>/</t>
        </is>
      </c>
      <c r="S18" s="134" t="inlineStr">
        <is>
          <t>/</t>
        </is>
      </c>
      <c r="V18" s="134" t="inlineStr">
        <is>
          <t xml:space="preserve"> 艺术设计学</t>
        </is>
      </c>
      <c r="W18" s="134" t="n">
        <v>2023.6</v>
      </c>
      <c r="X18" s="134" t="inlineStr">
        <is>
          <t xml:space="preserve"> 本科</t>
        </is>
      </c>
      <c r="Y18" s="134" t="inlineStr">
        <is>
          <t>3382218136@qq.com</t>
        </is>
      </c>
      <c r="Z18" s="134" t="inlineStr">
        <is>
          <t>山西省晋中市太谷区西南街明星东街48号1号楼6单元102室</t>
        </is>
      </c>
      <c r="AA18" s="134" t="inlineStr">
        <is>
          <t xml:space="preserve"> 雨花台区韩府新苑5栋3单元405</t>
        </is>
      </c>
      <c r="AB18" s="134" t="n">
        <v>18234475582</v>
      </c>
      <c r="AC18" s="518" t="inlineStr">
        <is>
          <t>140727200104110040</t>
        </is>
      </c>
      <c r="AD18" s="134" t="inlineStr">
        <is>
          <t>武晓可6217000416005749165中国建设银行呼和浩特东达支行</t>
        </is>
      </c>
      <c r="AF18" s="139" t="n"/>
    </row>
    <row r="19" customFormat="1" s="134">
      <c r="B19" s="134" t="inlineStr">
        <is>
          <t>张月2026.2.2已个人原因离职</t>
        </is>
      </c>
      <c r="C19" s="143" t="inlineStr">
        <is>
          <t>试用期:基本工资3660元/月，绩效奖金1200元/月，社保补贴600元/月，公积金补贴300元/月，合计5760元/月。
转正:基本工资5100元/月，绩效奖金1200元/月，社保补贴600元/月，公积金补贴300元/月，合计7200元/月。</t>
        </is>
      </c>
      <c r="D19" s="134" t="inlineStr">
        <is>
          <t>HR</t>
        </is>
      </c>
      <c r="E19" s="141" t="inlineStr">
        <is>
          <t>2025.12.08</t>
        </is>
      </c>
      <c r="F19" s="134" t="n"/>
      <c r="G19" s="134" t="inlineStr">
        <is>
          <t>2025/12月</t>
        </is>
      </c>
      <c r="H19" s="134" t="inlineStr">
        <is>
          <t>南京</t>
        </is>
      </c>
      <c r="I19" s="134" t="inlineStr">
        <is>
          <t>南京</t>
        </is>
      </c>
      <c r="J19" s="134" t="n">
        <v>5760</v>
      </c>
      <c r="K19" s="134" t="n">
        <v>7200</v>
      </c>
      <c r="T19" s="134" t="n">
        <v>3</v>
      </c>
      <c r="U19" s="134" t="n">
        <v>6</v>
      </c>
      <c r="V19" s="134" t="inlineStr">
        <is>
          <t xml:space="preserve"> 人力资源</t>
        </is>
      </c>
      <c r="W19" s="134" t="n">
        <v>2022.07</v>
      </c>
      <c r="X19" s="134" t="inlineStr">
        <is>
          <t>本科</t>
        </is>
      </c>
      <c r="Y19" s="134" t="inlineStr">
        <is>
          <t>1279415685@qq.com</t>
        </is>
      </c>
      <c r="Z19" s="134" t="inlineStr">
        <is>
          <t>南京雨花台区铁心桥街道定坊和苑c区4栋2单元708</t>
        </is>
      </c>
      <c r="AA19" s="134" t="inlineStr">
        <is>
          <t>江苏省扬州市开发区施桥镇孙集村尹西组9号</t>
        </is>
      </c>
      <c r="AB19" s="134" t="n">
        <v>13013706009</v>
      </c>
      <c r="AC19" s="134" t="inlineStr">
        <is>
          <t>；321001199901191127</t>
        </is>
      </c>
      <c r="AD19" s="134" t="inlineStr">
        <is>
          <t>张月中国建设银行南京雨润大街支行6217001370051541720</t>
        </is>
      </c>
      <c r="AF19" s="139" t="n"/>
    </row>
    <row r="20" customFormat="1" s="134">
      <c r="B20" s="134" t="inlineStr">
        <is>
          <t>王斌2026.1.12个人离职</t>
        </is>
      </c>
      <c r="C20" s="143" t="inlineStr">
        <is>
          <t>试用期:基本工资 2860 元/月，绩效奖金 1200 元/月，社保补贴 600 元/月，公积金补贴 300
元/月，合计 4960 元/月。
转正:基本工资 4490 元/月，绩效奖金 1200 元/月，社保补贴 310 元/月，公积金补贴 200 元/
月，合计 6200 元/月。</t>
        </is>
      </c>
      <c r="D20" s="134" t="inlineStr">
        <is>
          <t>HR</t>
        </is>
      </c>
      <c r="E20" s="141" t="inlineStr">
        <is>
          <t>2025.12.4</t>
        </is>
      </c>
      <c r="G20" s="134" t="inlineStr">
        <is>
          <t>2025/12月</t>
        </is>
      </c>
      <c r="H20" s="134" t="inlineStr">
        <is>
          <t>南京</t>
        </is>
      </c>
      <c r="I20" s="134" t="inlineStr">
        <is>
          <t>南京</t>
        </is>
      </c>
      <c r="V20" s="134" t="inlineStr">
        <is>
          <t xml:space="preserve">建筑工程 </t>
        </is>
      </c>
      <c r="W20" s="134" t="n">
        <v>44743</v>
      </c>
      <c r="X20" s="134" t="inlineStr">
        <is>
          <t>大专</t>
        </is>
      </c>
      <c r="Y20" s="134" t="inlineStr">
        <is>
          <t>1243007154@qq.com</t>
        </is>
      </c>
      <c r="Z20" s="134" t="inlineStr">
        <is>
          <t xml:space="preserve"> 江苏省南京市江宁区谷里街道庆缘花苑6栋601</t>
        </is>
      </c>
      <c r="AA20" s="134" t="inlineStr">
        <is>
          <t>南京市江宁区谷里街道亲见村石臼村23-1号</t>
        </is>
      </c>
      <c r="AB20" s="134" t="n">
        <v>13611587993</v>
      </c>
      <c r="AC20" s="134" t="inlineStr">
        <is>
          <t>‘320121199904123736</t>
        </is>
      </c>
      <c r="AD20" s="134" t="inlineStr">
        <is>
          <t>王斌6217001370062462635中国建设银行恒山路支行</t>
        </is>
      </c>
      <c r="AF20" s="139" t="n"/>
    </row>
    <row r="21" customFormat="1" s="136">
      <c r="B21" s="136" t="inlineStr">
        <is>
          <t>余胜男（兼职主播-南京文石）</t>
        </is>
      </c>
      <c r="D21" s="136" t="inlineStr">
        <is>
          <t>兼职主播</t>
        </is>
      </c>
      <c r="E21" s="140" t="inlineStr">
        <is>
          <t>2025.11.17</t>
        </is>
      </c>
      <c r="F21" s="136" t="n"/>
      <c r="G21" s="136" t="inlineStr">
        <is>
          <t>兼职不缴纳</t>
        </is>
      </c>
      <c r="H21" s="136" t="inlineStr">
        <is>
          <t>南京</t>
        </is>
      </c>
      <c r="I21" s="136" t="inlineStr">
        <is>
          <t>南京</t>
        </is>
      </c>
      <c r="J21" s="136" t="n">
        <v>12000</v>
      </c>
      <c r="K21" s="136" t="n">
        <v>12000</v>
      </c>
      <c r="V21" s="136" t="inlineStr">
        <is>
          <t>护理</t>
        </is>
      </c>
      <c r="W21" s="136" t="n">
        <v>2007.07</v>
      </c>
      <c r="X21" s="136" t="inlineStr">
        <is>
          <t>大专</t>
        </is>
      </c>
      <c r="Y21" s="136" t="inlineStr">
        <is>
          <t>411582961@qq.com</t>
        </is>
      </c>
      <c r="Z21" s="136" t="inlineStr">
        <is>
          <t>南京雨花台区恒永西苑1栋3单元1917</t>
        </is>
      </c>
      <c r="AA21" s="136" t="inlineStr">
        <is>
          <t>南京市鼓楼区水佐岗48巷3栋3单元206</t>
        </is>
      </c>
      <c r="AB21" s="136" t="n">
        <v>13913825991</v>
      </c>
      <c r="AC21" s="136" t="inlineStr">
        <is>
          <t>；342427198812255526</t>
        </is>
      </c>
      <c r="AD21" s="136" t="inlineStr">
        <is>
          <t>余胜男建行6227001633080043219</t>
        </is>
      </c>
      <c r="AF21" s="160" t="n"/>
    </row>
    <row r="22" customFormat="1" s="134">
      <c r="B22" s="134" t="inlineStr">
        <is>
          <t>秦维芳（文石财务）</t>
        </is>
      </c>
      <c r="D22" s="134" t="inlineStr">
        <is>
          <t>财务</t>
        </is>
      </c>
      <c r="E22" s="141" t="inlineStr">
        <is>
          <t>2024.12.4</t>
        </is>
      </c>
      <c r="F22" s="134" t="inlineStr">
        <is>
          <t>转正</t>
        </is>
      </c>
      <c r="G22" s="134" t="n">
        <v>2024.12</v>
      </c>
      <c r="H22" s="134" t="inlineStr">
        <is>
          <t>南京</t>
        </is>
      </c>
      <c r="I22" s="134" t="inlineStr">
        <is>
          <t>南京</t>
        </is>
      </c>
      <c r="J22" s="134" t="n">
        <v>6500</v>
      </c>
      <c r="K22" s="134" t="n">
        <v>6500</v>
      </c>
      <c r="Q22" s="134" t="inlineStr">
        <is>
          <t>/</t>
        </is>
      </c>
      <c r="R22" s="134" t="inlineStr">
        <is>
          <t>/</t>
        </is>
      </c>
      <c r="S22" s="134" t="inlineStr">
        <is>
          <t>/</t>
        </is>
      </c>
      <c r="T22" s="134" t="n">
        <v>1</v>
      </c>
      <c r="U22" s="134" t="n">
        <v>0</v>
      </c>
      <c r="V22" s="134" t="inlineStr">
        <is>
          <t>广播电视工程</t>
        </is>
      </c>
      <c r="W22" s="134" t="n">
        <v>36342</v>
      </c>
      <c r="X22" s="134" t="inlineStr">
        <is>
          <t>大专</t>
        </is>
      </c>
      <c r="Y22" s="134" t="inlineStr">
        <is>
          <t>2224847124@qq.com</t>
        </is>
      </c>
      <c r="Z22" s="134" t="inlineStr">
        <is>
          <t>南京市鼓楼区三牌楼大街147号1301号</t>
        </is>
      </c>
      <c r="AA22" s="134" t="inlineStr">
        <is>
          <t>南京市江宁区东山街道文婧路377号20幢302室</t>
        </is>
      </c>
      <c r="AB22" s="134" t="n">
        <v>13770308119</v>
      </c>
      <c r="AC22" s="518" t="inlineStr">
        <is>
          <t>320124197603191823</t>
        </is>
      </c>
      <c r="AD22" s="134" t="inlineStr">
        <is>
          <t>建设银行6217001370060370228</t>
        </is>
      </c>
      <c r="AF22" s="139" t="n"/>
    </row>
    <row r="23" customFormat="1" s="136">
      <c r="B23" s="136" t="inlineStr">
        <is>
          <t>盛思红（文石财务）</t>
        </is>
      </c>
      <c r="D23" s="136" t="inlineStr">
        <is>
          <t>财务</t>
        </is>
      </c>
      <c r="E23" s="140" t="inlineStr">
        <is>
          <t>2025.3.13</t>
        </is>
      </c>
      <c r="F23" s="136" t="inlineStr">
        <is>
          <t>2025.9.12</t>
        </is>
      </c>
      <c r="G23" s="136" t="n">
        <v>2024.3</v>
      </c>
      <c r="H23" s="136" t="inlineStr">
        <is>
          <t>南京</t>
        </is>
      </c>
      <c r="I23" s="136" t="inlineStr">
        <is>
          <t>南京</t>
        </is>
      </c>
      <c r="J23" s="136" t="n">
        <v>5600</v>
      </c>
      <c r="K23" s="136" t="n">
        <v>7000</v>
      </c>
      <c r="Q23" s="136" t="inlineStr">
        <is>
          <t>/</t>
        </is>
      </c>
      <c r="R23" s="136" t="inlineStr">
        <is>
          <t>/</t>
        </is>
      </c>
      <c r="S23" s="136" t="inlineStr">
        <is>
          <t>/</t>
        </is>
      </c>
      <c r="T23" s="136" t="n">
        <v>3</v>
      </c>
      <c r="U23" s="136" t="n">
        <v>6</v>
      </c>
      <c r="V23" s="136" t="inlineStr">
        <is>
          <t>会计</t>
        </is>
      </c>
      <c r="W23" s="136" t="n">
        <v>41426</v>
      </c>
      <c r="X23" s="136" t="inlineStr">
        <is>
          <t>本科</t>
        </is>
      </c>
      <c r="Y23" s="136" t="inlineStr">
        <is>
          <t>1004559023@qq.com</t>
        </is>
      </c>
      <c r="Z23" s="136" t="inlineStr">
        <is>
          <t>江苏省南京市浦口新浦路122号9栋307</t>
        </is>
      </c>
      <c r="AA23" s="136" t="inlineStr">
        <is>
          <t>江苏省盱眙县盱城街道办事处穆山巷255号</t>
        </is>
      </c>
      <c r="AB23" s="136" t="n">
        <v>15821962205</v>
      </c>
      <c r="AC23" s="521" t="inlineStr">
        <is>
          <t>320830199003010042</t>
        </is>
      </c>
      <c r="AD23" s="136" t="inlineStr">
        <is>
          <t>建设银行6217001370060919032</t>
        </is>
      </c>
      <c r="AF23" s="160" t="n"/>
    </row>
    <row r="24" customFormat="1" s="136">
      <c r="B24" s="136" t="inlineStr">
        <is>
          <t>汪娇娇（2024年10月22日lastday）</t>
        </is>
      </c>
      <c r="E24" s="140" t="n"/>
      <c r="F24" s="136" t="n"/>
      <c r="H24" s="136" t="inlineStr">
        <is>
          <t>南京</t>
        </is>
      </c>
      <c r="I24" s="136" t="inlineStr">
        <is>
          <t>南京</t>
        </is>
      </c>
      <c r="Q24" s="136" t="inlineStr">
        <is>
          <t>/</t>
        </is>
      </c>
      <c r="R24" s="136" t="inlineStr">
        <is>
          <t>/</t>
        </is>
      </c>
      <c r="S24" s="136" t="inlineStr">
        <is>
          <t>/</t>
        </is>
      </c>
      <c r="AF24" s="160" t="n"/>
    </row>
    <row r="25" customFormat="1" s="136">
      <c r="A25" s="136" t="n">
        <v>9</v>
      </c>
      <c r="B25" s="136" t="inlineStr">
        <is>
          <t>王璇</t>
        </is>
      </c>
      <c r="D25" s="136" t="inlineStr">
        <is>
          <t>HR</t>
        </is>
      </c>
      <c r="E25" s="148" t="inlineStr">
        <is>
          <t>2024.7.21</t>
        </is>
      </c>
      <c r="F25" s="140" t="n"/>
      <c r="G25" s="136" t="inlineStr">
        <is>
          <t>2024/8月</t>
        </is>
      </c>
      <c r="H25" s="136" t="inlineStr">
        <is>
          <t>南京</t>
        </is>
      </c>
      <c r="I25" s="136" t="inlineStr">
        <is>
          <t>南京</t>
        </is>
      </c>
      <c r="Q25" s="136" t="inlineStr">
        <is>
          <t>/</t>
        </is>
      </c>
      <c r="R25" s="136" t="inlineStr">
        <is>
          <t>/</t>
        </is>
      </c>
      <c r="S25" s="136" t="inlineStr">
        <is>
          <t>/</t>
        </is>
      </c>
      <c r="W25" s="140" t="n"/>
      <c r="Y25" s="159" t="n"/>
      <c r="Z25" s="150" t="n"/>
      <c r="AA25" s="150" t="n"/>
      <c r="AC25" s="521" t="inlineStr">
        <is>
          <t>340823200005066846</t>
        </is>
      </c>
      <c r="AD25" s="136" t="inlineStr">
        <is>
          <t>王璇建行6217001660008139267</t>
        </is>
      </c>
      <c r="AF25" s="160" t="n"/>
    </row>
    <row r="26" customFormat="1" s="134">
      <c r="B26" s="134" t="inlineStr">
        <is>
          <t>王菊</t>
        </is>
      </c>
      <c r="D26" s="134" t="inlineStr">
        <is>
          <t>HR</t>
        </is>
      </c>
      <c r="E26" s="151" t="inlineStr">
        <is>
          <t>2025.5.6</t>
        </is>
      </c>
      <c r="F26" s="141" t="n"/>
      <c r="G26" s="134" t="inlineStr">
        <is>
          <t>2025/5月</t>
        </is>
      </c>
      <c r="H26" s="134" t="inlineStr">
        <is>
          <t>南京</t>
        </is>
      </c>
      <c r="I26" s="134" t="inlineStr">
        <is>
          <t>南京</t>
        </is>
      </c>
      <c r="Q26" s="134" t="inlineStr">
        <is>
          <t>/</t>
        </is>
      </c>
      <c r="R26" s="134" t="inlineStr">
        <is>
          <t>/</t>
        </is>
      </c>
      <c r="S26" s="134" t="inlineStr">
        <is>
          <t>/</t>
        </is>
      </c>
      <c r="V26" s="134" t="inlineStr">
        <is>
          <t>计算机网络技术</t>
        </is>
      </c>
      <c r="W26" s="141" t="n">
        <v>41091</v>
      </c>
      <c r="X26" s="134" t="inlineStr">
        <is>
          <t>专科</t>
        </is>
      </c>
      <c r="Y26" s="152" t="inlineStr">
        <is>
          <t>1668919413@qq.com</t>
        </is>
      </c>
      <c r="Z26" s="153" t="inlineStr">
        <is>
          <t>南京市雨花台区梅山生活区448幢四单元303室</t>
        </is>
      </c>
      <c r="AA26" s="153" t="inlineStr">
        <is>
          <t>南京市雨花台区梅山生活区448幢四单元303室</t>
        </is>
      </c>
      <c r="AB26" s="134" t="n">
        <v>13515111937</v>
      </c>
      <c r="AC26" s="518" t="inlineStr">
        <is>
          <t>321323199003132349</t>
        </is>
      </c>
      <c r="AD26" s="134" t="inlineStr">
        <is>
          <t>王菊建行6236681370000850443</t>
        </is>
      </c>
      <c r="AF26" s="139" t="n"/>
    </row>
    <row r="27" ht="43" customFormat="1" customHeight="1" s="134">
      <c r="B27" s="134" t="inlineStr">
        <is>
          <t>张奕晗(自主离职日期：2025年7月11日)</t>
        </is>
      </c>
      <c r="D27" s="134" t="inlineStr">
        <is>
          <t>HR</t>
        </is>
      </c>
      <c r="E27" s="151" t="inlineStr">
        <is>
          <t>2025.6.16</t>
        </is>
      </c>
      <c r="F27" s="141" t="n"/>
      <c r="G27" s="134" t="inlineStr">
        <is>
          <t>2025/7月</t>
        </is>
      </c>
      <c r="H27" s="134" t="inlineStr">
        <is>
          <t>南京</t>
        </is>
      </c>
      <c r="I27" s="134" t="inlineStr">
        <is>
          <t>南京</t>
        </is>
      </c>
      <c r="Q27" s="134" t="inlineStr">
        <is>
          <t>/</t>
        </is>
      </c>
      <c r="R27" s="134" t="inlineStr">
        <is>
          <t>/</t>
        </is>
      </c>
      <c r="S27" s="134" t="inlineStr">
        <is>
          <t>/</t>
        </is>
      </c>
      <c r="U27" s="134" t="n">
        <v>6</v>
      </c>
      <c r="V27" s="134" t="inlineStr">
        <is>
          <t>动物医学</t>
        </is>
      </c>
      <c r="W27" s="141" t="n">
        <v>45078</v>
      </c>
      <c r="X27" s="134" t="inlineStr">
        <is>
          <t>专科</t>
        </is>
      </c>
      <c r="Y27" s="152" t="inlineStr">
        <is>
          <t>3215223483@qq.com</t>
        </is>
      </c>
      <c r="Z27" s="153" t="inlineStr">
        <is>
          <t>江苏省南京市雨花台区金域华府</t>
        </is>
      </c>
      <c r="AA27" s="153" t="inlineStr">
        <is>
          <t>江西省景德镇市珠山区昌虹路1栋601室</t>
        </is>
      </c>
      <c r="AB27" s="134" t="n">
        <v>13517989089</v>
      </c>
      <c r="AC27" s="518" t="inlineStr">
        <is>
          <t>360203200211221523</t>
        </is>
      </c>
      <c r="AD27" s="134" t="inlineStr">
        <is>
          <t>张奕晗建行6217001310012603557</t>
        </is>
      </c>
      <c r="AF27" s="139" t="n"/>
    </row>
    <row r="28" customFormat="1" s="136">
      <c r="A28" s="136" t="n">
        <v>5</v>
      </c>
      <c r="B28" s="136" t="inlineStr">
        <is>
          <t>梁薇</t>
        </is>
      </c>
      <c r="C28" s="136" t="inlineStr">
        <is>
          <t>女</t>
        </is>
      </c>
      <c r="D28" s="161" t="inlineStr">
        <is>
          <t>工资：3000底薪+1000绩效 每月招够3个人
签一年合同 试用期3个月打八折
10月31入职
没有别的补贴</t>
        </is>
      </c>
      <c r="E28" s="148" t="inlineStr">
        <is>
          <t>材料待准备</t>
        </is>
      </c>
      <c r="F28" s="140" t="inlineStr">
        <is>
          <t>HR专员</t>
        </is>
      </c>
      <c r="G28" s="136" t="inlineStr">
        <is>
          <t>2024年10月31号</t>
        </is>
      </c>
      <c r="H28" s="136" t="inlineStr">
        <is>
          <t>2025年2月30号</t>
        </is>
      </c>
      <c r="I28" s="136" t="n"/>
      <c r="J28" s="136" t="inlineStr">
        <is>
          <t>南京</t>
        </is>
      </c>
      <c r="K28" s="136" t="inlineStr">
        <is>
          <t>南京</t>
        </is>
      </c>
      <c r="L28" s="136" t="inlineStr">
        <is>
          <t>3K</t>
        </is>
      </c>
      <c r="S28" s="136" t="n">
        <v>0</v>
      </c>
      <c r="T28" s="136" t="n">
        <v>0</v>
      </c>
      <c r="U28" s="136" t="n">
        <v>0</v>
      </c>
      <c r="V28" s="136" t="inlineStr">
        <is>
          <t>1年</t>
        </is>
      </c>
      <c r="W28" s="140" t="inlineStr">
        <is>
          <t>3个月</t>
        </is>
      </c>
      <c r="X28" s="136" t="inlineStr">
        <is>
          <t>人力资源管理</t>
        </is>
      </c>
      <c r="Y28" s="159" t="inlineStr">
        <is>
          <t>2023年06</t>
        </is>
      </c>
      <c r="Z28" s="150" t="inlineStr">
        <is>
          <t>本科</t>
        </is>
      </c>
      <c r="AA28" s="150" t="inlineStr">
        <is>
          <t>1305134055@qq.com</t>
        </is>
      </c>
      <c r="AB28" s="136" t="inlineStr">
        <is>
          <t>南京市雨花台区铁心桥街道定坊和苑A区三栋607</t>
        </is>
      </c>
      <c r="AC28" s="136" t="inlineStr">
        <is>
          <t>广西容县黎村镇同心村山咀队43号</t>
        </is>
      </c>
      <c r="AD28" s="136" t="inlineStr">
        <is>
          <t>‘19159360823</t>
        </is>
      </c>
      <c r="AE28" s="136" t="inlineStr">
        <is>
          <t>’450921200012012828</t>
        </is>
      </c>
      <c r="AF28" s="160" t="n"/>
    </row>
    <row r="29" customFormat="1" s="136">
      <c r="A29" s="154" t="inlineStr">
        <is>
          <t>第一个脱敏</t>
        </is>
      </c>
      <c r="B29" s="136" t="inlineStr">
        <is>
          <t>李玉（2021年11月26日离职）</t>
        </is>
      </c>
      <c r="D29" s="136" t="inlineStr">
        <is>
          <t>软件开发工程师</t>
        </is>
      </c>
      <c r="E29" s="148" t="n">
        <v>44468</v>
      </c>
      <c r="F29" s="140" t="inlineStr">
        <is>
          <t>2021/11月26离职</t>
        </is>
      </c>
      <c r="G29" s="136" t="inlineStr">
        <is>
          <t>邦芒交 2021年11月份</t>
        </is>
      </c>
      <c r="H29" s="136" t="inlineStr">
        <is>
          <t>西安</t>
        </is>
      </c>
      <c r="I29" s="136" t="inlineStr">
        <is>
          <t>西安</t>
        </is>
      </c>
      <c r="J29" s="136" t="n">
        <v>18900</v>
      </c>
      <c r="K29" s="136" t="n">
        <v>21000</v>
      </c>
      <c r="L29" s="136" t="n">
        <v>3350</v>
      </c>
      <c r="M29" s="136" t="inlineStr">
        <is>
          <t>1950*10</t>
        </is>
      </c>
      <c r="N29" s="136" t="n">
        <v>1080.85</v>
      </c>
      <c r="O29" s="136" t="n">
        <v>357.8</v>
      </c>
      <c r="P29" s="136" t="inlineStr">
        <is>
          <t>50/月</t>
        </is>
      </c>
      <c r="Q29" s="136" t="inlineStr">
        <is>
          <t>有</t>
        </is>
      </c>
      <c r="R29" s="537" t="n"/>
      <c r="S29" s="538" t="n"/>
      <c r="T29" s="136" t="n">
        <v>3</v>
      </c>
      <c r="U29" s="136" t="n">
        <v>3</v>
      </c>
      <c r="V29" s="136" t="inlineStr">
        <is>
          <t>化学</t>
        </is>
      </c>
      <c r="W29" s="140" t="n">
        <v>42552</v>
      </c>
      <c r="X29" s="136" t="inlineStr">
        <is>
          <t>本科</t>
        </is>
      </c>
      <c r="Y29" s="159" t="inlineStr">
        <is>
          <t>hebeizhuojiu@163.com</t>
        </is>
      </c>
      <c r="Z29" s="150" t="inlineStr">
        <is>
          <t>西安市雁塔区鱼化寨街道漳浒寨社区6号楼1单元701</t>
        </is>
      </c>
      <c r="AA29" s="150" t="inlineStr">
        <is>
          <t>陕西省永寿县常宁镇新华村二组306号</t>
        </is>
      </c>
      <c r="AB29" s="136" t="n">
        <v>18391948517</v>
      </c>
      <c r="AC29" s="521" t="inlineStr">
        <is>
          <t>610426199310201538</t>
        </is>
      </c>
      <c r="AD29" s="136" t="inlineStr">
        <is>
          <t>建行6217004160027457110</t>
        </is>
      </c>
      <c r="AE29" s="136" t="inlineStr">
        <is>
          <t>10月份顺丰到付快递费18元 ，公积金代缴50元每月</t>
        </is>
      </c>
      <c r="AF29" s="160" t="inlineStr">
        <is>
          <t>2021年11月26日已离职</t>
        </is>
      </c>
    </row>
    <row r="30" customFormat="1" s="136">
      <c r="A30" s="136" t="inlineStr">
        <is>
          <t>第二个脱敏</t>
        </is>
      </c>
      <c r="B30" s="136" t="inlineStr">
        <is>
          <t>彭积刚（2022-2-28离职）</t>
        </is>
      </c>
      <c r="D30" s="136" t="inlineStr">
        <is>
          <t>影像应用工程师</t>
        </is>
      </c>
      <c r="E30" s="140" t="n">
        <v>44489</v>
      </c>
      <c r="F30" s="140" t="n">
        <v>44215</v>
      </c>
      <c r="G30" s="155" t="n">
        <v>44501</v>
      </c>
      <c r="H30" s="136" t="inlineStr">
        <is>
          <t>东莞</t>
        </is>
      </c>
      <c r="I30" s="136" t="inlineStr">
        <is>
          <t>东莞</t>
        </is>
      </c>
      <c r="J30" s="136" t="n">
        <v>17000</v>
      </c>
      <c r="K30" s="136" t="n">
        <v>20000</v>
      </c>
      <c r="L30" s="136" t="n">
        <v>3958</v>
      </c>
      <c r="M30" s="136" t="n">
        <v>4000</v>
      </c>
      <c r="N30" s="136" t="n">
        <v>897.99</v>
      </c>
      <c r="O30" s="136" t="n">
        <v>553.6900000000001</v>
      </c>
      <c r="P30" s="136" t="inlineStr">
        <is>
          <t>50/月</t>
        </is>
      </c>
      <c r="Q30" s="136" t="inlineStr">
        <is>
          <t>有（餐补18 交通12 误餐补正常没有 如果有就是18 按照22天工作日来算）</t>
        </is>
      </c>
      <c r="R30" s="537" t="n"/>
      <c r="S30" s="538" t="n"/>
      <c r="T30" s="136" t="n">
        <v>3</v>
      </c>
      <c r="U30" s="136" t="n">
        <v>3</v>
      </c>
      <c r="V30" s="136" t="inlineStr">
        <is>
          <t>材料成型及控制工程专业</t>
        </is>
      </c>
      <c r="W30" s="140" t="n">
        <v>41091</v>
      </c>
      <c r="X30" s="136" t="inlineStr">
        <is>
          <t>本科</t>
        </is>
      </c>
      <c r="Y30" s="159" t="inlineStr">
        <is>
          <t>928207099@qq.com</t>
        </is>
      </c>
      <c r="Z30" s="136" t="inlineStr">
        <is>
          <t>湖南省常宁市胜桥镇三村村第四村民小组03号</t>
        </is>
      </c>
      <c r="AA30" s="136" t="inlineStr">
        <is>
          <t>湖南省常宁市胜桥镇三村村第四村民小组03号</t>
        </is>
      </c>
      <c r="AB30" s="136" t="n">
        <v>18680349371</v>
      </c>
      <c r="AC30" s="521" t="inlineStr">
        <is>
          <t>430482198903216535</t>
        </is>
      </c>
      <c r="AD30" s="136" t="inlineStr">
        <is>
          <t>彭积刚建行6217 0072 0004 9404000</t>
        </is>
      </c>
      <c r="AE30" s="136" t="inlineStr">
        <is>
          <t>快递费？</t>
        </is>
      </c>
      <c r="AF30" s="160" t="inlineStr">
        <is>
          <t>2022-2-28离职</t>
        </is>
      </c>
    </row>
    <row r="31" customFormat="1" s="136">
      <c r="A31" s="136" t="inlineStr">
        <is>
          <t>第一个外协</t>
        </is>
      </c>
      <c r="B31" s="136" t="inlineStr">
        <is>
          <t>胡洁8000元</t>
        </is>
      </c>
      <c r="C31" s="136" t="inlineStr">
        <is>
          <t>医保1886675429 公积金3201000501902263</t>
        </is>
      </c>
      <c r="D31" s="136" t="inlineStr">
        <is>
          <t>测试开发工程师</t>
        </is>
      </c>
      <c r="E31" s="140" t="n">
        <v>44477</v>
      </c>
      <c r="F31" s="140" t="n">
        <v>44568</v>
      </c>
      <c r="G31" s="136" t="inlineStr">
        <is>
          <t xml:space="preserve">五险一金文石交2021年10月 </t>
        </is>
      </c>
      <c r="H31" s="136" t="inlineStr">
        <is>
          <t>南京</t>
        </is>
      </c>
      <c r="I31" s="136" t="inlineStr">
        <is>
          <t>南京</t>
        </is>
      </c>
      <c r="J31" s="136" t="n">
        <v>4400</v>
      </c>
      <c r="K31" s="136" t="n">
        <v>5500</v>
      </c>
      <c r="L31" s="136" t="n">
        <v>3800</v>
      </c>
      <c r="M31" s="136" t="inlineStr">
        <is>
          <t>2280公司114</t>
        </is>
      </c>
      <c r="N31" s="136" t="n">
        <v>1087.56</v>
      </c>
      <c r="O31" s="136" t="n">
        <v>523</v>
      </c>
      <c r="P31" s="136" t="inlineStr">
        <is>
          <t>50/月</t>
        </is>
      </c>
      <c r="Q31" s="136" t="inlineStr">
        <is>
          <t xml:space="preserve">每日25元 </t>
        </is>
      </c>
      <c r="R31" s="537" t="n"/>
      <c r="S31" s="538" t="n"/>
      <c r="T31" s="136" t="n">
        <v>1</v>
      </c>
      <c r="U31" s="136" t="n">
        <v>3</v>
      </c>
      <c r="V31" s="136" t="inlineStr">
        <is>
          <t>电子信息工程技术</t>
        </is>
      </c>
      <c r="W31" s="140" t="n">
        <v>44013</v>
      </c>
      <c r="X31" s="136" t="inlineStr">
        <is>
          <t>大专</t>
        </is>
      </c>
      <c r="Y31" s="159" t="inlineStr">
        <is>
          <t>2601733655@qq.com</t>
        </is>
      </c>
      <c r="Z31" s="150" t="inlineStr">
        <is>
          <t>南京市雨花台区锦虹美苑10幢202</t>
        </is>
      </c>
      <c r="AA31" s="150" t="inlineStr">
        <is>
          <t>江苏省建湖县东方御花园a区13幢401室</t>
        </is>
      </c>
      <c r="AB31" s="136" t="n">
        <v>15151836631</v>
      </c>
      <c r="AC31" s="521" t="inlineStr">
        <is>
          <t>320925199904042820</t>
        </is>
      </c>
      <c r="AD31" s="136" t="inlineStr">
        <is>
          <t>胡洁建行6217 0013 7005 2590 247</t>
        </is>
      </c>
      <c r="AE31" s="136" t="inlineStr">
        <is>
          <t>开通五险一金300 代缴费50</t>
        </is>
      </c>
      <c r="AF31" s="160" t="n"/>
    </row>
    <row r="32" customFormat="1" s="136">
      <c r="A32" s="136" t="inlineStr">
        <is>
          <t>第二个外协</t>
        </is>
      </c>
      <c r="B32" s="136" t="inlineStr">
        <is>
          <t>胡兴煜7500元（2022年7月18已离职）</t>
        </is>
      </c>
      <c r="C32" s="136" t="n">
        <v>1892397130</v>
      </c>
      <c r="D32" s="136" t="inlineStr">
        <is>
          <t>整机测试</t>
        </is>
      </c>
      <c r="E32" s="136" t="inlineStr">
        <is>
          <t>2021 10月18</t>
        </is>
      </c>
      <c r="F32" s="156" t="n">
        <v>44578</v>
      </c>
      <c r="G32" s="136" t="inlineStr">
        <is>
          <t>文石五险是2021年10月，公积金是11月补上10月的</t>
        </is>
      </c>
      <c r="H32" s="136" t="inlineStr">
        <is>
          <t>南京</t>
        </is>
      </c>
      <c r="I32" s="136" t="inlineStr">
        <is>
          <t>南京</t>
        </is>
      </c>
      <c r="J32" s="136" t="n">
        <v>3600</v>
      </c>
      <c r="K32" s="136" t="n">
        <v>4500</v>
      </c>
      <c r="L32" s="136" t="n">
        <v>3800</v>
      </c>
      <c r="M32" s="136" t="inlineStr">
        <is>
          <t>2280公司114</t>
        </is>
      </c>
      <c r="N32" s="136" t="n">
        <v>1320.25</v>
      </c>
      <c r="O32" s="136" t="n">
        <v>684.25</v>
      </c>
      <c r="P32" s="136" t="inlineStr">
        <is>
          <t>50/月</t>
        </is>
      </c>
      <c r="Q32" s="136" t="inlineStr">
        <is>
          <t>每日25元</t>
        </is>
      </c>
      <c r="R32" s="537" t="n"/>
      <c r="S32" s="538" t="n"/>
      <c r="T32" s="136" t="n">
        <v>1</v>
      </c>
      <c r="U32" s="136" t="n">
        <v>3</v>
      </c>
      <c r="V32" s="136" t="inlineStr">
        <is>
          <t>云计算技术与应用</t>
        </is>
      </c>
      <c r="W32" s="157" t="inlineStr">
        <is>
          <t>2021/6/1日</t>
        </is>
      </c>
      <c r="X32" s="136" t="inlineStr">
        <is>
          <t>大专</t>
        </is>
      </c>
      <c r="Y32" s="159" t="inlineStr">
        <is>
          <t>2718287284@qq.com</t>
        </is>
      </c>
      <c r="Z32" s="136" t="inlineStr">
        <is>
          <t>雨花区西善花苑</t>
        </is>
      </c>
      <c r="AA32" s="136" t="inlineStr">
        <is>
          <t>江苏省宿迁市宿城区中扬镇傅庙村胡马祖28号</t>
        </is>
      </c>
      <c r="AB32" s="136" t="n">
        <v>16651619069</v>
      </c>
      <c r="AC32" s="521" t="inlineStr">
        <is>
          <t>321323200009082317</t>
        </is>
      </c>
      <c r="AD32" s="136" t="inlineStr">
        <is>
          <t>胡兴煜建行6217001370052992583</t>
        </is>
      </c>
      <c r="AE32" s="136" t="inlineStr">
        <is>
          <t>无</t>
        </is>
      </c>
      <c r="AF32" s="160" t="n"/>
    </row>
    <row r="33" customFormat="1" s="136">
      <c r="A33" s="136" t="inlineStr">
        <is>
          <t>第三个外协</t>
        </is>
      </c>
      <c r="B33" s="136" t="inlineStr">
        <is>
          <t>安浩7000元（2022年1月26日离职）</t>
        </is>
      </c>
      <c r="C33" s="136" t="inlineStr">
        <is>
          <t>1888001317/医保是1888001317</t>
        </is>
      </c>
      <c r="D33" s="136" t="inlineStr">
        <is>
          <t>测试工程师</t>
        </is>
      </c>
      <c r="E33" s="156" t="inlineStr">
        <is>
          <t>2021年11/16</t>
        </is>
      </c>
      <c r="F33" s="156" t="inlineStr">
        <is>
          <t>/</t>
        </is>
      </c>
      <c r="G33" s="136" t="inlineStr">
        <is>
          <t>五险是2021年11月 一金是12月开始</t>
        </is>
      </c>
      <c r="H33" s="136" t="inlineStr">
        <is>
          <t>南京</t>
        </is>
      </c>
      <c r="I33" s="136" t="inlineStr">
        <is>
          <t>南京</t>
        </is>
      </c>
      <c r="J33" s="136" t="n">
        <v>4000</v>
      </c>
      <c r="K33" s="136" t="n">
        <v>5000</v>
      </c>
      <c r="L33" s="136" t="n">
        <v>3800</v>
      </c>
      <c r="M33" s="136" t="inlineStr">
        <is>
          <t>2280公司114</t>
        </is>
      </c>
      <c r="N33" s="136" t="n">
        <v>1320.25</v>
      </c>
      <c r="O33" s="136" t="n">
        <v>684.25</v>
      </c>
      <c r="P33" s="136" t="inlineStr">
        <is>
          <t>50/月</t>
        </is>
      </c>
      <c r="Q33" s="136" t="inlineStr">
        <is>
          <t>每日25元</t>
        </is>
      </c>
      <c r="R33" s="537" t="n"/>
      <c r="S33" s="538" t="n"/>
      <c r="T33" s="136" t="n">
        <v>1</v>
      </c>
      <c r="U33" s="136" t="n">
        <v>3</v>
      </c>
      <c r="V33" s="136" t="inlineStr">
        <is>
          <t>财会与审计</t>
        </is>
      </c>
      <c r="W33" s="157" t="inlineStr">
        <is>
          <t>2021年6月30号</t>
        </is>
      </c>
      <c r="X33" s="136" t="inlineStr">
        <is>
          <t>大专</t>
        </is>
      </c>
      <c r="Y33" s="159" t="inlineStr">
        <is>
          <t>1653228502@qq.com</t>
        </is>
      </c>
      <c r="Z33" s="136" t="inlineStr">
        <is>
          <t>南京市 江宁区湖熟街道杨柳湖社区后杨柳100号</t>
        </is>
      </c>
      <c r="AA33" s="136" t="inlineStr">
        <is>
          <t>南京市 江宁区湖熟街道杨柳湖社区后杨柳100号</t>
        </is>
      </c>
      <c r="AB33" s="136" t="n">
        <v>15951703484</v>
      </c>
      <c r="AC33" s="521" t="inlineStr">
        <is>
          <t>320121199811021933</t>
        </is>
      </c>
      <c r="AD33" s="136" t="inlineStr">
        <is>
          <t>安浩6217001370052275799</t>
        </is>
      </c>
      <c r="AE33" s="136" t="inlineStr">
        <is>
          <t>小罗请假2小时</t>
        </is>
      </c>
      <c r="AF33" s="160" t="inlineStr">
        <is>
          <t>安浩的公积金账号3201000557941293</t>
        </is>
      </c>
    </row>
    <row r="34" customFormat="1" s="136">
      <c r="A34" s="136" t="inlineStr">
        <is>
          <t>第四个外协</t>
        </is>
      </c>
      <c r="B34" s="136" t="inlineStr">
        <is>
          <t>李诗林（16000元）</t>
        </is>
      </c>
      <c r="D34" s="136" t="inlineStr">
        <is>
          <t>车载测试工程师</t>
        </is>
      </c>
      <c r="E34" s="156" t="n">
        <v>44671</v>
      </c>
      <c r="F34" s="156" t="n">
        <v>44761</v>
      </c>
      <c r="G34" s="136" t="inlineStr">
        <is>
          <t>2022/5月</t>
        </is>
      </c>
      <c r="H34" s="136" t="inlineStr">
        <is>
          <t>南京</t>
        </is>
      </c>
      <c r="I34" s="136" t="inlineStr">
        <is>
          <t>南京</t>
        </is>
      </c>
      <c r="J34" s="136" t="n">
        <v>9200</v>
      </c>
      <c r="K34" s="136" t="n">
        <v>11500</v>
      </c>
      <c r="L34" s="136" t="n">
        <v>4250</v>
      </c>
      <c r="M34" s="136" t="n">
        <v>2280</v>
      </c>
      <c r="N34" s="136" t="n">
        <v>1320.25</v>
      </c>
      <c r="O34" s="136" t="n">
        <v>684.25</v>
      </c>
      <c r="P34" s="136" t="inlineStr">
        <is>
          <t>50/月</t>
        </is>
      </c>
      <c r="Q34" s="136" t="inlineStr">
        <is>
          <t>每日25元</t>
        </is>
      </c>
      <c r="R34" s="537" t="n"/>
      <c r="S34" s="538" t="n"/>
      <c r="T34" s="136" t="n">
        <v>3</v>
      </c>
      <c r="U34" s="136" t="n">
        <v>3</v>
      </c>
      <c r="V34" s="136" t="inlineStr">
        <is>
          <t>机械制造与自动化</t>
        </is>
      </c>
      <c r="W34" s="520" t="inlineStr">
        <is>
          <t>2018/7/1</t>
        </is>
      </c>
      <c r="X34" s="136" t="inlineStr">
        <is>
          <t>大专</t>
        </is>
      </c>
      <c r="Y34" s="159" t="inlineStr">
        <is>
          <t>1851651404@qq.com</t>
        </is>
      </c>
      <c r="Z34" s="136" t="inlineStr">
        <is>
          <t>江苏省丰县顺河镇河申15号</t>
        </is>
      </c>
      <c r="AA34" s="136" t="inlineStr">
        <is>
          <t>江苏省丰县顺河镇河申15号</t>
        </is>
      </c>
      <c r="AB34" s="136" t="n">
        <v>18724145235</v>
      </c>
      <c r="AC34" s="521" t="inlineStr">
        <is>
          <t>320321199403203616</t>
        </is>
      </c>
      <c r="AD34" s="136" t="inlineStr">
        <is>
          <t>李诗林建行6217001370052939014</t>
        </is>
      </c>
      <c r="AE34" s="136" t="inlineStr">
        <is>
          <t>医保卡1887674639</t>
        </is>
      </c>
      <c r="AF34" s="160" t="n"/>
    </row>
    <row r="35" customFormat="1" s="136">
      <c r="A35" s="136" t="inlineStr">
        <is>
          <t>第五个外协</t>
        </is>
      </c>
      <c r="B35" s="136" t="inlineStr">
        <is>
          <t>涂刚（中科27000元）</t>
        </is>
      </c>
      <c r="C35" s="136" t="inlineStr">
        <is>
          <t>中科报价27000</t>
        </is>
      </c>
      <c r="D35" s="136" t="inlineStr">
        <is>
          <t>高精度地图软件开发工程师</t>
        </is>
      </c>
      <c r="E35" s="156" t="n">
        <v>44718</v>
      </c>
      <c r="F35" s="156" t="n">
        <v>44809</v>
      </c>
      <c r="G35" s="136" t="inlineStr">
        <is>
          <t>2022/6月</t>
        </is>
      </c>
      <c r="H35" s="136" t="inlineStr">
        <is>
          <t>成都</t>
        </is>
      </c>
      <c r="I35" s="136" t="inlineStr">
        <is>
          <t>成都</t>
        </is>
      </c>
      <c r="J35" s="136" t="n">
        <v>16000</v>
      </c>
      <c r="K35" s="136" t="n">
        <v>20000</v>
      </c>
      <c r="L35" s="136" t="n">
        <v>3726</v>
      </c>
      <c r="M35" s="136" t="n">
        <v>1780</v>
      </c>
      <c r="P35" s="136" t="inlineStr">
        <is>
          <t>邦芒50/月</t>
        </is>
      </c>
      <c r="Q35" s="136" t="inlineStr">
        <is>
          <t>每日25元</t>
        </is>
      </c>
      <c r="R35" s="537" t="n"/>
      <c r="S35" s="538" t="n"/>
      <c r="T35" s="136" t="n">
        <v>3</v>
      </c>
      <c r="U35" s="136" t="n">
        <v>3</v>
      </c>
      <c r="V35" s="136" t="inlineStr">
        <is>
          <t>计算机科学与技术</t>
        </is>
      </c>
      <c r="W35" s="161" t="inlineStr">
        <is>
          <t xml:space="preserve">2015.06
</t>
        </is>
      </c>
      <c r="X35" s="136" t="inlineStr">
        <is>
          <t>本科</t>
        </is>
      </c>
      <c r="Y35" s="159" t="inlineStr">
        <is>
          <t>1562497694@qq.com</t>
        </is>
      </c>
      <c r="Z35" s="136" t="inlineStr">
        <is>
          <t>四川省成都市成华区万年场街道优品尚东15栋1单元</t>
        </is>
      </c>
      <c r="AA35" s="136" t="inlineStr">
        <is>
          <t>成都市金牛区沙湾路65号</t>
        </is>
      </c>
      <c r="AB35" s="136" t="n">
        <v>13798419596</v>
      </c>
      <c r="AC35" s="521" t="inlineStr">
        <is>
          <t>511381199206198937</t>
        </is>
      </c>
      <c r="AD35" s="136" t="inlineStr">
        <is>
          <t>涂刚建行6217003800026441539</t>
        </is>
      </c>
      <c r="AF35" s="160" t="n"/>
    </row>
    <row r="36" customFormat="1" s="135">
      <c r="A36" s="136" t="inlineStr">
        <is>
          <t>第六个外协</t>
        </is>
      </c>
      <c r="B36" s="136" t="inlineStr">
        <is>
          <t>黄龙</t>
        </is>
      </c>
      <c r="C36" s="136" t="inlineStr">
        <is>
          <t>中科报价22000</t>
        </is>
      </c>
      <c r="D36" s="136" t="inlineStr">
        <is>
          <t>跟线员</t>
        </is>
      </c>
      <c r="E36" s="156" t="n">
        <v>44797</v>
      </c>
      <c r="F36" s="156" t="n">
        <v>44888</v>
      </c>
      <c r="G36" s="160" t="inlineStr">
        <is>
          <t>2022/9月 但是5678员工自费五险一金</t>
        </is>
      </c>
      <c r="H36" s="136" t="inlineStr">
        <is>
          <t>南京</t>
        </is>
      </c>
      <c r="I36" s="136" t="inlineStr">
        <is>
          <t>南京</t>
        </is>
      </c>
      <c r="J36" s="136" t="n">
        <v>10000</v>
      </c>
      <c r="K36" s="136" t="n">
        <v>10000</v>
      </c>
      <c r="L36" s="136" t="n">
        <v>4250</v>
      </c>
      <c r="M36" s="136" t="inlineStr">
        <is>
          <t>2280（10%）</t>
        </is>
      </c>
      <c r="N36" s="135" t="n">
        <v>1320.25</v>
      </c>
      <c r="O36" s="135" t="n">
        <v>684.25</v>
      </c>
      <c r="P36" s="136" t="inlineStr">
        <is>
          <t>文石50/月</t>
        </is>
      </c>
      <c r="Q36" s="136" t="inlineStr">
        <is>
          <t>每日25元</t>
        </is>
      </c>
      <c r="R36" s="537" t="n"/>
      <c r="S36" s="538" t="n"/>
      <c r="T36" s="136" t="n">
        <v>1</v>
      </c>
      <c r="U36" s="136" t="n">
        <v>3</v>
      </c>
      <c r="V36" s="136" t="inlineStr">
        <is>
          <t>微电子技术</t>
        </is>
      </c>
      <c r="W36" s="161" t="inlineStr">
        <is>
          <t xml:space="preserve">2013.09
</t>
        </is>
      </c>
      <c r="X36" s="136" t="inlineStr">
        <is>
          <t>专科</t>
        </is>
      </c>
      <c r="Y36" s="159" t="inlineStr">
        <is>
          <t>10575229722@qq.com</t>
        </is>
      </c>
      <c r="Z36" s="136" t="inlineStr">
        <is>
          <t>江苏省沛县河口镇李集053号</t>
        </is>
      </c>
      <c r="AA36" s="136" t="inlineStr">
        <is>
          <t>江苏省沛县河口镇李集053号</t>
        </is>
      </c>
      <c r="AB36" s="136" t="n">
        <v>16651620720</v>
      </c>
      <c r="AC36" s="521" t="inlineStr">
        <is>
          <t>320322199007203450</t>
        </is>
      </c>
      <c r="AD36" s="136" t="inlineStr">
        <is>
          <t>中国银行南京新港支行6217856100039491540</t>
        </is>
      </c>
      <c r="AE36" s="135" t="inlineStr">
        <is>
          <t>医保1883669845</t>
        </is>
      </c>
      <c r="AF36" s="158" t="n"/>
      <c r="AG36" s="135" t="inlineStr">
        <is>
          <t>黄龙是每月每天都要上班</t>
        </is>
      </c>
    </row>
    <row r="37" customFormat="1" s="135">
      <c r="A37" s="136" t="inlineStr">
        <is>
          <t>自己</t>
        </is>
      </c>
      <c r="B37" s="136" t="inlineStr">
        <is>
          <t>宋木（7-9月补缴 3个月五险从工资扣）</t>
        </is>
      </c>
      <c r="C37" s="136" t="inlineStr">
        <is>
          <t>医保卡1891687132</t>
        </is>
      </c>
      <c r="D37" s="136" t="inlineStr">
        <is>
          <t>运营</t>
        </is>
      </c>
      <c r="E37" s="156" t="n">
        <v>44823</v>
      </c>
      <c r="F37" s="156" t="n">
        <v>44852</v>
      </c>
      <c r="G37" s="136" t="inlineStr">
        <is>
          <t>2022/10月</t>
        </is>
      </c>
      <c r="H37" s="136" t="inlineStr">
        <is>
          <t>南京</t>
        </is>
      </c>
      <c r="I37" s="136" t="inlineStr">
        <is>
          <t>南京</t>
        </is>
      </c>
      <c r="J37" s="136" t="n">
        <v>7200</v>
      </c>
      <c r="K37" s="136" t="n">
        <v>9000</v>
      </c>
      <c r="L37" s="136" t="n">
        <v>4250</v>
      </c>
      <c r="M37" s="136" t="inlineStr">
        <is>
          <t>2280（10%）</t>
        </is>
      </c>
      <c r="N37" s="135" t="n">
        <v>1320.25</v>
      </c>
      <c r="O37" s="135" t="n">
        <v>684.25</v>
      </c>
      <c r="P37" s="136" t="inlineStr">
        <is>
          <t>0/月</t>
        </is>
      </c>
      <c r="Q37" s="136" t="n">
        <v>0</v>
      </c>
      <c r="R37" s="537" t="n"/>
      <c r="S37" s="538" t="n"/>
      <c r="T37" s="136" t="n">
        <v>3</v>
      </c>
      <c r="U37" s="136" t="n">
        <v>1</v>
      </c>
      <c r="V37" s="136" t="inlineStr">
        <is>
          <t>电气工程及其自动化</t>
        </is>
      </c>
      <c r="W37" s="161" t="n"/>
      <c r="X37" s="136" t="inlineStr">
        <is>
          <t>本科</t>
        </is>
      </c>
      <c r="Y37" s="159" t="inlineStr">
        <is>
          <t>451486266@qq.com</t>
        </is>
      </c>
      <c r="Z37" s="136" t="inlineStr">
        <is>
          <t>宿舍：南京市江宁区同曦国际广场4栋206</t>
        </is>
      </c>
      <c r="AA37" s="136" t="inlineStr">
        <is>
          <t>江苏省灌南县新安镇悦来东路11-25号二单元201室</t>
        </is>
      </c>
      <c r="AB37" s="136" t="n">
        <v>15801962302</v>
      </c>
      <c r="AC37" s="521" t="inlineStr">
        <is>
          <t>320724199401220018</t>
        </is>
      </c>
      <c r="AD37" s="136" t="inlineStr">
        <is>
          <t>宋木建行6215340302618232117</t>
        </is>
      </c>
      <c r="AE37" s="135" t="inlineStr">
        <is>
          <t>公积金3201000531991280</t>
        </is>
      </c>
      <c r="AF37" s="158" t="n"/>
    </row>
    <row r="38" customFormat="1" s="135">
      <c r="A38" s="136" t="inlineStr">
        <is>
          <t>自己</t>
        </is>
      </c>
      <c r="B38" s="136" t="inlineStr">
        <is>
          <t>孙程</t>
        </is>
      </c>
      <c r="C38" s="136" t="inlineStr">
        <is>
          <t>医保卡1886771876</t>
        </is>
      </c>
      <c r="D38" s="136" t="inlineStr">
        <is>
          <t>摄影后期</t>
        </is>
      </c>
      <c r="E38" s="156" t="n">
        <v>44823</v>
      </c>
      <c r="F38" s="156" t="n">
        <v>44852</v>
      </c>
      <c r="G38" s="136" t="inlineStr">
        <is>
          <t>2022/10月</t>
        </is>
      </c>
      <c r="H38" s="136" t="inlineStr">
        <is>
          <t>南京</t>
        </is>
      </c>
      <c r="I38" s="136" t="inlineStr">
        <is>
          <t>南京</t>
        </is>
      </c>
      <c r="J38" s="136" t="n">
        <v>6400</v>
      </c>
      <c r="K38" s="136" t="n">
        <v>8000</v>
      </c>
      <c r="L38" s="136" t="n">
        <v>4250</v>
      </c>
      <c r="M38" s="136" t="inlineStr">
        <is>
          <t>2280（10%）</t>
        </is>
      </c>
      <c r="N38" s="135" t="n">
        <v>1320.25</v>
      </c>
      <c r="O38" s="135" t="n">
        <v>684.25</v>
      </c>
      <c r="P38" s="136" t="inlineStr">
        <is>
          <t>0/月</t>
        </is>
      </c>
      <c r="Q38" s="136" t="n">
        <v>0</v>
      </c>
      <c r="R38" s="537" t="n"/>
      <c r="S38" s="538" t="n"/>
      <c r="T38" s="136" t="n">
        <v>3</v>
      </c>
      <c r="U38" s="136" t="n">
        <v>1</v>
      </c>
      <c r="V38" s="136" t="inlineStr">
        <is>
          <t>旅游管理</t>
        </is>
      </c>
      <c r="W38" s="161" t="n"/>
      <c r="X38" s="136" t="inlineStr">
        <is>
          <t>本科</t>
        </is>
      </c>
      <c r="Y38" s="159" t="inlineStr">
        <is>
          <t>2284664380@qq.com</t>
        </is>
      </c>
      <c r="Z38" s="136" t="inlineStr">
        <is>
          <t>宿舍：江宁区双龙大道天龙湾花园25栋3单元</t>
        </is>
      </c>
      <c r="AA38" s="136" t="inlineStr">
        <is>
          <t>江苏省丹阳市化肥新村18幢102室</t>
        </is>
      </c>
      <c r="AB38" s="136" t="n">
        <v>15705296014</v>
      </c>
      <c r="AC38" s="521" t="inlineStr">
        <is>
          <t>321181199909140436</t>
        </is>
      </c>
      <c r="AD38" s="136" t="inlineStr">
        <is>
          <t>孙程建行6217001370055797468</t>
        </is>
      </c>
      <c r="AF38" s="158" t="n"/>
    </row>
    <row r="39" customFormat="1" s="135">
      <c r="A39" s="136" t="inlineStr">
        <is>
          <t>自己</t>
        </is>
      </c>
      <c r="B39" s="136" t="inlineStr">
        <is>
          <t>蒲鹏程</t>
        </is>
      </c>
      <c r="C39" s="136" t="inlineStr">
        <is>
          <t>医保卡 1890318820</t>
        </is>
      </c>
      <c r="D39" s="136" t="inlineStr">
        <is>
          <t>运营</t>
        </is>
      </c>
      <c r="E39" s="156" t="n">
        <v>44842</v>
      </c>
      <c r="F39" s="156" t="n">
        <v>44872</v>
      </c>
      <c r="G39" s="136" t="inlineStr">
        <is>
          <t>2022/10月</t>
        </is>
      </c>
      <c r="H39" s="136" t="inlineStr">
        <is>
          <t>南京</t>
        </is>
      </c>
      <c r="I39" s="136" t="inlineStr">
        <is>
          <t>南京</t>
        </is>
      </c>
      <c r="J39" s="136">
        <f>15000*0.8</f>
        <v/>
      </c>
      <c r="K39" s="136" t="n">
        <v>15000</v>
      </c>
      <c r="L39" s="136" t="n">
        <v>4250</v>
      </c>
      <c r="M39" s="136" t="inlineStr">
        <is>
          <t>2280（10%）</t>
        </is>
      </c>
      <c r="N39" s="135" t="n">
        <v>1320.25</v>
      </c>
      <c r="O39" s="135" t="n">
        <v>684.25</v>
      </c>
      <c r="P39" s="136" t="inlineStr">
        <is>
          <t>0/月</t>
        </is>
      </c>
      <c r="Q39" s="136" t="n">
        <v>0</v>
      </c>
      <c r="R39" s="537" t="n"/>
      <c r="S39" s="538" t="n"/>
      <c r="T39" s="136" t="n">
        <v>3</v>
      </c>
      <c r="U39" s="136" t="n">
        <v>1</v>
      </c>
      <c r="V39" s="136" t="inlineStr">
        <is>
          <t>计算机科学与技术</t>
        </is>
      </c>
      <c r="W39" s="161" t="n"/>
      <c r="X39" s="136" t="inlineStr">
        <is>
          <t>本科</t>
        </is>
      </c>
      <c r="Y39" s="159" t="n"/>
      <c r="Z39" s="136" t="inlineStr">
        <is>
          <t>南京市雨花台西柿路9号明尚西苑</t>
        </is>
      </c>
      <c r="AA39" s="136" t="inlineStr">
        <is>
          <t>安徽省蚌埠市怀远县淝南乡</t>
        </is>
      </c>
      <c r="AB39" s="136" t="n">
        <v>18652945306</v>
      </c>
      <c r="AC39" s="521" t="inlineStr">
        <is>
          <t>340321199810113451</t>
        </is>
      </c>
      <c r="AD39" s="136" t="inlineStr">
        <is>
          <t>蒲鹏程建行：6236 6828 7001 0584 402</t>
        </is>
      </c>
      <c r="AE39" s="135" t="inlineStr">
        <is>
          <t>公积金3201000503897492</t>
        </is>
      </c>
      <c r="AF39" s="158" t="n"/>
    </row>
    <row r="40" customFormat="1" s="135">
      <c r="A40" s="136" t="inlineStr">
        <is>
          <t>自己</t>
        </is>
      </c>
      <c r="B40" s="136" t="inlineStr">
        <is>
          <t>刘静</t>
        </is>
      </c>
      <c r="C40" s="136" t="inlineStr">
        <is>
          <t>医保卡1886044706 公积金3201000539594520</t>
        </is>
      </c>
      <c r="D40" s="136" t="inlineStr">
        <is>
          <t>主播</t>
        </is>
      </c>
      <c r="E40" s="156" t="n">
        <v>44842</v>
      </c>
      <c r="F40" s="156" t="n">
        <v>44872</v>
      </c>
      <c r="G40" s="136" t="inlineStr">
        <is>
          <t>2022/10月</t>
        </is>
      </c>
      <c r="H40" s="136" t="inlineStr">
        <is>
          <t>南京</t>
        </is>
      </c>
      <c r="I40" s="136" t="inlineStr">
        <is>
          <t>南京</t>
        </is>
      </c>
      <c r="J40" s="136">
        <f>8000*0.8</f>
        <v/>
      </c>
      <c r="K40" s="136" t="n">
        <v>8000</v>
      </c>
      <c r="L40" s="136" t="n">
        <v>4250</v>
      </c>
      <c r="M40" s="136" t="inlineStr">
        <is>
          <t>2280（10%）</t>
        </is>
      </c>
      <c r="N40" s="135" t="n">
        <v>1320.25</v>
      </c>
      <c r="O40" s="135" t="n">
        <v>684.25</v>
      </c>
      <c r="P40" s="136" t="inlineStr">
        <is>
          <t>0/月</t>
        </is>
      </c>
      <c r="Q40" s="136" t="n">
        <v>0</v>
      </c>
      <c r="R40" s="537" t="n"/>
      <c r="S40" s="538" t="n"/>
      <c r="T40" s="136" t="n">
        <v>3</v>
      </c>
      <c r="U40" s="136" t="n">
        <v>1</v>
      </c>
      <c r="V40" s="136" t="n"/>
      <c r="W40" s="161" t="n"/>
      <c r="X40" s="136" t="inlineStr">
        <is>
          <t>本科</t>
        </is>
      </c>
      <c r="Y40" s="159" t="n"/>
      <c r="Z40" s="136" t="inlineStr">
        <is>
          <t>南京市韩府雅苑</t>
        </is>
      </c>
      <c r="AA40" s="136" t="inlineStr">
        <is>
          <t>山东省青岛市胶州西路煜鼎小区</t>
        </is>
      </c>
      <c r="AB40" s="136" t="n">
        <v>15651792321</v>
      </c>
      <c r="AC40" s="521" t="inlineStr">
        <is>
          <t>370281199706025343</t>
        </is>
      </c>
      <c r="AD40" s="136" t="inlineStr">
        <is>
          <t>刘静建行：6217001370055947246</t>
        </is>
      </c>
      <c r="AE40" s="135" t="inlineStr">
        <is>
          <t>公积金3201000539594520</t>
        </is>
      </c>
      <c r="AF40" s="158" t="n"/>
    </row>
    <row r="41" customFormat="1" s="135">
      <c r="A41" s="136" t="inlineStr">
        <is>
          <t>自己</t>
        </is>
      </c>
      <c r="B41" s="136" t="inlineStr">
        <is>
          <t>蒋玉凤</t>
        </is>
      </c>
      <c r="C41" s="136" t="n"/>
      <c r="D41" s="136" t="inlineStr">
        <is>
          <t>主播</t>
        </is>
      </c>
      <c r="E41" s="156" t="n"/>
      <c r="F41" s="156" t="n"/>
      <c r="G41" s="136" t="n"/>
      <c r="H41" s="136" t="n"/>
      <c r="I41" s="136" t="n"/>
      <c r="J41" s="136" t="n"/>
      <c r="K41" s="136" t="n"/>
      <c r="L41" s="136" t="n"/>
      <c r="M41" s="136" t="n"/>
      <c r="P41" s="136" t="n"/>
      <c r="Q41" s="136" t="n"/>
      <c r="R41" s="136" t="n"/>
      <c r="S41" s="136" t="n"/>
      <c r="T41" s="136" t="n"/>
      <c r="U41" s="136" t="n"/>
      <c r="V41" s="136" t="n"/>
      <c r="W41" s="161" t="n"/>
      <c r="X41" s="136" t="n"/>
      <c r="Y41" s="159" t="n"/>
      <c r="Z41" s="136" t="n"/>
      <c r="AA41" s="136" t="n"/>
      <c r="AB41" s="136" t="n"/>
      <c r="AC41" s="136" t="n"/>
      <c r="AD41" s="136" t="n"/>
      <c r="AF41" s="158" t="n"/>
    </row>
    <row r="42" customFormat="1" s="135">
      <c r="A42" s="136" t="n"/>
      <c r="B42" s="136" t="n"/>
      <c r="C42" s="136" t="n"/>
      <c r="D42" s="136" t="n"/>
      <c r="E42" s="156" t="n"/>
      <c r="F42" s="156" t="n"/>
      <c r="G42" s="136" t="n"/>
      <c r="H42" s="136" t="n"/>
      <c r="I42" s="136" t="n"/>
      <c r="J42" s="136" t="n"/>
      <c r="K42" s="136" t="n"/>
      <c r="L42" s="136" t="n"/>
      <c r="M42" s="136" t="n"/>
      <c r="P42" s="136" t="n"/>
      <c r="Q42" s="136" t="n"/>
      <c r="R42" s="136" t="n"/>
      <c r="S42" s="136" t="n"/>
      <c r="T42" s="136" t="n"/>
      <c r="U42" s="136" t="n"/>
      <c r="V42" s="136" t="n"/>
      <c r="W42" s="161" t="n"/>
      <c r="X42" s="136" t="n"/>
      <c r="Y42" s="159" t="n"/>
      <c r="Z42" s="136" t="n"/>
      <c r="AA42" s="136" t="n"/>
      <c r="AB42" s="136" t="n"/>
      <c r="AC42" s="136" t="n"/>
      <c r="AD42" s="136" t="n"/>
      <c r="AF42" s="158" t="n"/>
    </row>
    <row r="43" customFormat="1" s="136">
      <c r="A43" s="136" t="inlineStr">
        <is>
          <t>第一个挂靠</t>
        </is>
      </c>
      <c r="B43" s="136" t="inlineStr">
        <is>
          <t>王睿（2022年６月１４号已经离职）</t>
        </is>
      </c>
      <c r="D43" s="136" t="inlineStr">
        <is>
          <t>应用软件开发工程师（性能优化）</t>
        </is>
      </c>
      <c r="E43" s="156" t="n">
        <v>44690</v>
      </c>
      <c r="F43" s="156" t="n">
        <v>44781</v>
      </c>
      <c r="G43" s="136" t="inlineStr">
        <is>
          <t>2022/5月</t>
        </is>
      </c>
      <c r="H43" s="136" t="inlineStr">
        <is>
          <t>北京</t>
        </is>
      </c>
      <c r="I43" s="136" t="inlineStr">
        <is>
          <t>北京</t>
        </is>
      </c>
      <c r="J43" s="136" t="n">
        <v>40000</v>
      </c>
      <c r="K43" s="136" t="n">
        <v>40000</v>
      </c>
      <c r="L43" s="136" t="n">
        <v>28221</v>
      </c>
      <c r="M43" s="136" t="inlineStr">
        <is>
          <t>28221x12%</t>
        </is>
      </c>
      <c r="P43" s="136" t="inlineStr">
        <is>
          <t>邦芒80/月</t>
        </is>
      </c>
      <c r="Q43" s="136" t="n">
        <v>18</v>
      </c>
      <c r="R43" s="136" t="n">
        <v>12</v>
      </c>
      <c r="S43" s="136" t="n">
        <v>18</v>
      </c>
      <c r="T43" s="136" t="n">
        <v>3</v>
      </c>
      <c r="U43" s="136" t="n">
        <v>3</v>
      </c>
      <c r="V43" s="136" t="inlineStr">
        <is>
          <t>电子与通信工程</t>
        </is>
      </c>
      <c r="W43" s="521" t="inlineStr">
        <is>
          <t>2017/3/1</t>
        </is>
      </c>
      <c r="X43" s="136" t="inlineStr">
        <is>
          <t>硕士</t>
        </is>
      </c>
      <c r="Y43" s="159" t="inlineStr">
        <is>
          <t>243743479@qq.com</t>
        </is>
      </c>
      <c r="Z43" s="136" t="inlineStr">
        <is>
          <t>北京市海淀区大牛坊三期一号楼三单元602</t>
        </is>
      </c>
      <c r="AA43" s="136" t="inlineStr">
        <is>
          <t>北京市房山区良乡镇玉竹园D2号楼3单元602号</t>
        </is>
      </c>
      <c r="AB43" s="136" t="n">
        <v>13521947488</v>
      </c>
      <c r="AC43" s="521" t="inlineStr">
        <is>
          <t>620302199211250436</t>
        </is>
      </c>
      <c r="AD43" s="136" t="inlineStr">
        <is>
          <t>王睿建行：6217000010157953624</t>
        </is>
      </c>
      <c r="AF43" s="160" t="n"/>
    </row>
    <row r="44" ht="103" customFormat="1" customHeight="1" s="136">
      <c r="A44" s="136" t="inlineStr">
        <is>
          <t>第二个挂靠</t>
        </is>
      </c>
      <c r="B44" s="161" t="inlineStr">
        <is>
          <t xml:space="preserve">秦亚杰（工资14000  餐补+交通补30元/天
超过20:00算加班，18/天
挂靠费800不含税 代缴费100  五险一金文石不承担
病假处理：
每月累计5天（含）以下，且每年累计30天以下，病假期间发放基本工资； 
每月累计5天以上，或每年累计30天以上，根据国家规定，病假期间发放当地最低工资标准的80%，医疗期期间工资按照当地最低工资标准的80%计发。
2023年北京基本工资2420
</t>
        </is>
      </c>
      <c r="C44" s="161" t="inlineStr">
        <is>
          <t>秦亚杰：2022年5月10号入职 8月31号离职
12月1号入职</t>
        </is>
      </c>
      <c r="D44" s="136" t="inlineStr">
        <is>
          <t>车辆调试工程师</t>
        </is>
      </c>
      <c r="E44" s="156" t="n">
        <v>44691</v>
      </c>
      <c r="F44" s="156" t="n">
        <v>44782</v>
      </c>
      <c r="G44" s="136" t="inlineStr">
        <is>
          <t>2022/5月</t>
        </is>
      </c>
      <c r="H44" s="136" t="inlineStr">
        <is>
          <t>北京</t>
        </is>
      </c>
      <c r="I44" s="136" t="inlineStr">
        <is>
          <t>北京</t>
        </is>
      </c>
      <c r="J44" s="136" t="n">
        <v>13000</v>
      </c>
      <c r="K44" s="136" t="n">
        <v>13000</v>
      </c>
      <c r="L44" s="136" t="n">
        <v>5360</v>
      </c>
      <c r="M44" s="136" t="inlineStr">
        <is>
          <t>5360x10% 实际邦芒4465x12%</t>
        </is>
      </c>
      <c r="P44" s="136" t="inlineStr">
        <is>
          <t>邦芒80/月</t>
        </is>
      </c>
      <c r="Q44" s="136" t="n">
        <v>18</v>
      </c>
      <c r="R44" s="136" t="n">
        <v>12</v>
      </c>
      <c r="S44" s="136" t="n">
        <v>18</v>
      </c>
      <c r="T44" s="136" t="n">
        <v>3</v>
      </c>
      <c r="U44" s="136" t="n">
        <v>3</v>
      </c>
      <c r="V44" s="136" t="inlineStr">
        <is>
          <t>/初中</t>
        </is>
      </c>
      <c r="W44" s="136" t="inlineStr">
        <is>
          <t>、/</t>
        </is>
      </c>
      <c r="X44" s="136" t="inlineStr">
        <is>
          <t>初中</t>
        </is>
      </c>
      <c r="Y44" s="159" t="inlineStr">
        <is>
          <t>1471911951@qq.com</t>
        </is>
      </c>
      <c r="Z44" s="136" t="inlineStr">
        <is>
          <t>北京市，海淀区，高里掌路，翠湖科技园，3号院，19号楼，地平线</t>
        </is>
      </c>
      <c r="AA44" s="136" t="inlineStr">
        <is>
          <t>河北省承德市滦平县付营子镇温台村老西营子43号</t>
        </is>
      </c>
      <c r="AB44" s="136" t="n">
        <v>13520209874</v>
      </c>
      <c r="AC44" s="521" t="inlineStr">
        <is>
          <t>130824198512186014</t>
        </is>
      </c>
      <c r="AD44" s="136" t="inlineStr">
        <is>
          <t>秦亚杰建行6217000010179682219北京上地支行</t>
        </is>
      </c>
      <c r="AF44" s="160" t="n"/>
    </row>
    <row r="45" customFormat="1" s="136">
      <c r="A45" s="136" t="inlineStr">
        <is>
          <t>第三个挂靠</t>
        </is>
      </c>
      <c r="B45" s="161" t="inlineStr">
        <is>
          <t xml:space="preserve">李友良-工资13500，五险一金文石不承担  无任何补贴 代缴费100挂靠费800不含税
</t>
        </is>
      </c>
      <c r="C45" s="161" t="inlineStr">
        <is>
          <t>李友良：2022年5月10号入职 8月31号离职
12月1号入职</t>
        </is>
      </c>
      <c r="D45" s="136" t="inlineStr">
        <is>
          <t>标定工程师</t>
        </is>
      </c>
      <c r="E45" s="156" t="n">
        <v>44706</v>
      </c>
      <c r="F45" s="156" t="n">
        <v>44797</v>
      </c>
      <c r="G45" s="136" t="inlineStr">
        <is>
          <t>2022/6月</t>
        </is>
      </c>
      <c r="H45" s="136" t="inlineStr">
        <is>
          <t>北京</t>
        </is>
      </c>
      <c r="I45" s="136" t="inlineStr">
        <is>
          <t>北京</t>
        </is>
      </c>
      <c r="J45" s="136" t="n">
        <v>12000</v>
      </c>
      <c r="K45" s="136" t="n">
        <v>12000</v>
      </c>
      <c r="L45" s="136" t="n">
        <v>5360</v>
      </c>
      <c r="M45" s="136" t="inlineStr">
        <is>
          <t>5360x10% 实际邦芒4465x12%</t>
        </is>
      </c>
      <c r="P45" s="161" t="inlineStr">
        <is>
          <t>嘉创网站120/月 收中科80/月
邦芒80/月</t>
        </is>
      </c>
      <c r="Q45" s="136" t="n">
        <v>18</v>
      </c>
      <c r="R45" s="136" t="n">
        <v>12</v>
      </c>
      <c r="S45" s="136" t="n">
        <v>18</v>
      </c>
      <c r="T45" s="136" t="n">
        <v>3</v>
      </c>
      <c r="U45" s="136" t="n">
        <v>3</v>
      </c>
      <c r="V45" s="136" t="inlineStr">
        <is>
          <t>中专</t>
        </is>
      </c>
      <c r="X45" s="136" t="inlineStr">
        <is>
          <t>中专</t>
        </is>
      </c>
      <c r="Y45" s="159" t="inlineStr">
        <is>
          <t>269386729@qq.com</t>
        </is>
      </c>
      <c r="Z45" s="136" t="inlineStr">
        <is>
          <t>北京市海淀区高里掌翠湖科技园3号院19号楼</t>
        </is>
      </c>
      <c r="AA45" s="136" t="inlineStr">
        <is>
          <t>河北省衡水市故城县青罕镇青罕村467号</t>
        </is>
      </c>
      <c r="AB45" s="136" t="n">
        <v>15533819896</v>
      </c>
      <c r="AC45" s="521" t="inlineStr">
        <is>
          <t>131126199505161839</t>
        </is>
      </c>
      <c r="AD45" s="136" t="inlineStr">
        <is>
          <t>李友良招商银行：6214830192061892北京回龙观支行</t>
        </is>
      </c>
      <c r="AF45" s="160" t="n"/>
    </row>
    <row r="46" customFormat="1" s="136">
      <c r="A46" s="136" t="inlineStr">
        <is>
          <t>第四个挂靠</t>
        </is>
      </c>
      <c r="B46" s="136" t="inlineStr">
        <is>
          <t>陈 彬（从未入职）</t>
        </is>
      </c>
      <c r="D46" s="136" t="inlineStr">
        <is>
          <t>slam/3D算法工程师</t>
        </is>
      </c>
      <c r="E46" s="140" t="n">
        <v>44706</v>
      </c>
      <c r="F46" s="156" t="n">
        <v>44798</v>
      </c>
      <c r="G46" s="136" t="inlineStr">
        <is>
          <t>2022/6月</t>
        </is>
      </c>
      <c r="H46" s="136" t="inlineStr">
        <is>
          <t>北京</t>
        </is>
      </c>
      <c r="I46" s="136" t="inlineStr">
        <is>
          <t>北京</t>
        </is>
      </c>
      <c r="J46" s="136" t="n">
        <v>42000</v>
      </c>
      <c r="K46" s="136" t="n">
        <v>42000</v>
      </c>
      <c r="L46" s="136" t="n">
        <v>28221</v>
      </c>
      <c r="M46" s="136" t="inlineStr">
        <is>
          <t>28221x12%</t>
        </is>
      </c>
      <c r="P46" s="136" t="inlineStr">
        <is>
          <t>嘉创网站120/月 收中科80/月</t>
        </is>
      </c>
      <c r="Q46" s="136" t="n">
        <v>18</v>
      </c>
      <c r="R46" s="136" t="n">
        <v>12</v>
      </c>
      <c r="S46" s="136" t="n">
        <v>18</v>
      </c>
      <c r="T46" s="136" t="n">
        <v>3</v>
      </c>
      <c r="U46" s="136" t="n">
        <v>3</v>
      </c>
      <c r="V46" s="136" t="inlineStr">
        <is>
          <t>电子与通信工程</t>
        </is>
      </c>
      <c r="W46" s="140" t="n">
        <v>43676</v>
      </c>
      <c r="X46" s="136" t="inlineStr">
        <is>
          <t>硕士</t>
        </is>
      </c>
      <c r="Y46" s="159" t="inlineStr">
        <is>
          <t>bin.planck13@gmail.com</t>
        </is>
      </c>
      <c r="Z46" s="136" t="inlineStr">
        <is>
          <t>北京市顺义区空港街道枫泉花园小区5号楼5单元1401</t>
        </is>
      </c>
      <c r="AA46" s="136" t="inlineStr">
        <is>
          <t>北京市顺义区空港街道枫泉花园小区5号楼5单元1401</t>
        </is>
      </c>
      <c r="AB46" s="136" t="n">
        <v>13161310097</v>
      </c>
      <c r="AC46" s="136" t="inlineStr">
        <is>
          <t>’411522199410242410</t>
        </is>
      </c>
      <c r="AD46" s="136" t="inlineStr">
        <is>
          <t>/</t>
        </is>
      </c>
      <c r="AF46" s="160" t="n"/>
    </row>
    <row r="47" customFormat="1" s="136">
      <c r="A47" s="136" t="inlineStr">
        <is>
          <t>第6个挂靠</t>
        </is>
      </c>
      <c r="B47" s="161" t="inlineStr">
        <is>
          <t>卢传腾（
工资23000 挂靠费1800不含税 代缴费100
补贴22元/天
病假按40%发放
）</t>
        </is>
      </c>
      <c r="C47" s="136" t="inlineStr">
        <is>
          <t>2024年7月26日离职</t>
        </is>
      </c>
      <c r="D47" s="136" t="inlineStr">
        <is>
          <t>Android开发工程师</t>
        </is>
      </c>
      <c r="E47" s="140" t="n">
        <v>44956</v>
      </c>
      <c r="F47" s="140" t="n">
        <v>44956</v>
      </c>
      <c r="G47" s="136" t="n">
        <v>2023.02</v>
      </c>
      <c r="H47" s="136" t="inlineStr">
        <is>
          <t>上海</t>
        </is>
      </c>
      <c r="I47" s="136" t="inlineStr">
        <is>
          <t>上海</t>
        </is>
      </c>
      <c r="J47" s="136" t="n">
        <v>23000</v>
      </c>
      <c r="K47" s="136" t="n">
        <v>23000</v>
      </c>
      <c r="L47" s="136" t="n">
        <v>6520</v>
      </c>
      <c r="M47" s="136" t="inlineStr">
        <is>
          <t>2590（7%）</t>
        </is>
      </c>
      <c r="P47" s="136" t="inlineStr">
        <is>
          <t>邦芒50/月</t>
        </is>
      </c>
      <c r="Q47" s="160" t="inlineStr">
        <is>
          <t>有出勤补贴，22元/天，休假或者居家办公没有的</t>
        </is>
      </c>
      <c r="R47" s="537" t="n"/>
      <c r="S47" s="538" t="n"/>
      <c r="T47" s="136" t="n">
        <v>1</v>
      </c>
      <c r="U47" s="136" t="n">
        <v>3</v>
      </c>
      <c r="V47" s="136" t="inlineStr">
        <is>
          <t>本科</t>
        </is>
      </c>
      <c r="W47" s="140" t="n">
        <v>42917</v>
      </c>
      <c r="X47" s="136" t="inlineStr">
        <is>
          <t>山西师范大学现代文理学院</t>
        </is>
      </c>
      <c r="Y47" s="159" t="inlineStr">
        <is>
          <t>lct17610871620@163.com</t>
        </is>
      </c>
      <c r="Z47" s="136" t="inlineStr">
        <is>
          <t>山西省祁县贾令镇沙堡村北圪道11号</t>
        </is>
      </c>
      <c r="AA47" s="136" t="inlineStr">
        <is>
          <t>上海浦东新区张江路747号</t>
        </is>
      </c>
      <c r="AB47" s="136" t="n">
        <v>17610871620</v>
      </c>
      <c r="AC47" s="521" t="inlineStr">
        <is>
          <t>142430200206052017</t>
        </is>
      </c>
      <c r="AD47" s="136" t="inlineStr">
        <is>
          <t>建行：'6217001180073046842</t>
        </is>
      </c>
      <c r="AF47" s="160" t="n"/>
    </row>
    <row r="48" customFormat="1" s="136">
      <c r="A48" s="136" t="inlineStr">
        <is>
          <t>第7个外协</t>
        </is>
      </c>
      <c r="B48" s="161" t="inlineStr">
        <is>
          <t>任海鸿-中科报价21000含税，工资11200/14000无任何补贴，无其他费用</t>
        </is>
      </c>
      <c r="D48" s="136" t="inlineStr">
        <is>
          <t>车辆改装工程师</t>
        </is>
      </c>
      <c r="E48" s="140" t="n">
        <v>45285</v>
      </c>
      <c r="F48" s="156" t="n">
        <v>45375</v>
      </c>
      <c r="G48" s="136" t="inlineStr">
        <is>
          <t>2024.1.1</t>
        </is>
      </c>
      <c r="H48" s="136" t="inlineStr">
        <is>
          <t>北京</t>
        </is>
      </c>
      <c r="I48" s="136" t="inlineStr">
        <is>
          <t>北京</t>
        </is>
      </c>
      <c r="J48" s="136" t="n">
        <v>11200</v>
      </c>
      <c r="K48" s="136" t="n">
        <v>14000</v>
      </c>
      <c r="L48" s="136" t="n">
        <v>6326</v>
      </c>
      <c r="M48" s="136" t="inlineStr">
        <is>
          <t>2750（12%）</t>
        </is>
      </c>
      <c r="N48" s="136" t="n">
        <v>2101.28</v>
      </c>
      <c r="O48" s="136" t="n">
        <v>997.23</v>
      </c>
      <c r="P48" s="136" t="inlineStr">
        <is>
          <t>邦芒50/月</t>
        </is>
      </c>
      <c r="Q48" s="136" t="n">
        <v>0</v>
      </c>
      <c r="R48" s="136" t="n">
        <v>0</v>
      </c>
      <c r="S48" s="136" t="n">
        <v>0</v>
      </c>
      <c r="T48" s="136" t="n">
        <v>1</v>
      </c>
      <c r="U48" s="136" t="n">
        <v>3</v>
      </c>
      <c r="V48" s="136" t="inlineStr">
        <is>
          <t>大专</t>
        </is>
      </c>
      <c r="W48" s="140" t="inlineStr">
        <is>
          <t>？</t>
        </is>
      </c>
      <c r="X48" s="136" t="inlineStr">
        <is>
          <t>专科</t>
        </is>
      </c>
      <c r="Y48" s="159" t="inlineStr">
        <is>
          <t>1433025030@qq.com</t>
        </is>
      </c>
      <c r="Z48" s="161" t="inlineStr">
        <is>
          <t>北京市海淀区中关村集成电路设计园2c座3层北京酷睿程科技有限公司
任海鸿 18511362910</t>
        </is>
      </c>
      <c r="AA48" s="136" t="inlineStr">
        <is>
          <t>河南省潢川县双柳树镇天桥村西阮岗组</t>
        </is>
      </c>
      <c r="AB48" s="136" t="n">
        <v>18511362910</v>
      </c>
      <c r="AC48" s="136" t="inlineStr">
        <is>
          <t>；411526200108176353</t>
        </is>
      </c>
      <c r="AD48" s="136" t="inlineStr">
        <is>
          <t>任海鸿建行6217 0000 1019 3277 236</t>
        </is>
      </c>
      <c r="AF48" s="160" t="n"/>
    </row>
    <row r="49" customFormat="1" s="136">
      <c r="A49" s="136" t="inlineStr">
        <is>
          <t>不发工资的外协</t>
        </is>
      </c>
      <c r="B49" s="136" t="inlineStr">
        <is>
          <t>李成龙（中科报价28000，不给员工发工资）</t>
        </is>
      </c>
      <c r="D49" s="136" t="inlineStr">
        <is>
          <t>智能驾驶测试工程师</t>
        </is>
      </c>
      <c r="E49" s="140" t="n">
        <v>45287</v>
      </c>
      <c r="F49" s="156" t="n">
        <v>45377</v>
      </c>
      <c r="G49" s="136" t="inlineStr">
        <is>
          <t>不缴纳社保</t>
        </is>
      </c>
      <c r="H49" s="136" t="inlineStr">
        <is>
          <t>北京</t>
        </is>
      </c>
      <c r="I49" s="136" t="inlineStr">
        <is>
          <t>北京</t>
        </is>
      </c>
      <c r="J49" s="136" t="inlineStr">
        <is>
          <t>不发工资</t>
        </is>
      </c>
      <c r="K49" s="136" t="inlineStr">
        <is>
          <t>不发工资</t>
        </is>
      </c>
      <c r="L49" s="136" t="inlineStr">
        <is>
          <t>不缴纳社保</t>
        </is>
      </c>
      <c r="M49" s="136" t="inlineStr">
        <is>
          <t>不缴纳社保</t>
        </is>
      </c>
      <c r="N49" s="136" t="inlineStr">
        <is>
          <t>不缴纳社保</t>
        </is>
      </c>
      <c r="O49" s="136" t="inlineStr">
        <is>
          <t>不缴纳社保</t>
        </is>
      </c>
      <c r="P49" s="136" t="inlineStr">
        <is>
          <t>不缴纳社保</t>
        </is>
      </c>
      <c r="Q49" s="136" t="n">
        <v>0</v>
      </c>
      <c r="R49" s="136" t="n">
        <v>0</v>
      </c>
      <c r="S49" s="136" t="n">
        <v>0</v>
      </c>
      <c r="T49" s="136" t="n">
        <v>0</v>
      </c>
      <c r="U49" s="136" t="n">
        <v>0</v>
      </c>
      <c r="W49" s="140" t="n"/>
      <c r="Y49" s="159" t="n"/>
      <c r="AF49" s="160" t="n"/>
    </row>
    <row r="50" customFormat="1" s="136">
      <c r="E50" s="140" t="n"/>
      <c r="F50" s="156" t="n"/>
      <c r="W50" s="140" t="n"/>
      <c r="Y50" s="159" t="n"/>
      <c r="AF50" s="160" t="n"/>
    </row>
    <row r="51" customFormat="1" s="136">
      <c r="A51" s="136" t="inlineStr">
        <is>
          <t>第五个挂靠</t>
        </is>
      </c>
      <c r="B51" s="136" t="inlineStr">
        <is>
          <t>籍洋（2022.6.30离职）</t>
        </is>
      </c>
      <c r="D51" s="136" t="inlineStr">
        <is>
          <t>感知算法专家工程师</t>
        </is>
      </c>
      <c r="E51" s="140" t="n">
        <v>44713</v>
      </c>
      <c r="F51" s="156" t="n">
        <v>44805</v>
      </c>
      <c r="G51" s="136" t="inlineStr">
        <is>
          <t>2022/6月</t>
        </is>
      </c>
      <c r="H51" s="136" t="inlineStr">
        <is>
          <t xml:space="preserve">上海 </t>
        </is>
      </c>
      <c r="I51" s="136" t="inlineStr">
        <is>
          <t>上海</t>
        </is>
      </c>
      <c r="J51" s="136" t="n">
        <v>57000</v>
      </c>
      <c r="K51" s="136" t="n">
        <v>57000</v>
      </c>
      <c r="L51" s="136" t="n">
        <v>31014</v>
      </c>
      <c r="M51" s="136" t="inlineStr">
        <is>
          <t>31014x7% 上海做不了补充公积金</t>
        </is>
      </c>
      <c r="P51" s="136" t="inlineStr">
        <is>
          <t>嘉创网站120/月 收中科80/月</t>
        </is>
      </c>
      <c r="Q51" s="136" t="n">
        <v>18</v>
      </c>
      <c r="R51" s="136" t="n">
        <v>12</v>
      </c>
      <c r="S51" s="136" t="n">
        <v>18</v>
      </c>
      <c r="T51" s="136" t="n">
        <v>3</v>
      </c>
      <c r="U51" s="136" t="n">
        <v>3</v>
      </c>
      <c r="V51" s="136" t="inlineStr">
        <is>
          <t xml:space="preserve">控制科学与工程 </t>
        </is>
      </c>
      <c r="W51" s="140" t="n">
        <v>42946</v>
      </c>
      <c r="X51" s="136" t="inlineStr">
        <is>
          <t>硕士</t>
        </is>
      </c>
      <c r="Y51" s="159" t="inlineStr">
        <is>
          <t>694728662@qq.com</t>
        </is>
      </c>
      <c r="Z51" s="136" t="inlineStr">
        <is>
          <t>上海市浦东新区花木镇梅花路289号</t>
        </is>
      </c>
      <c r="AA51" s="136" t="inlineStr">
        <is>
          <t>上海市浦东新区花木镇梅花路289号</t>
        </is>
      </c>
      <c r="AB51" s="136" t="n">
        <v>13764779764</v>
      </c>
      <c r="AC51" s="136" t="inlineStr">
        <is>
          <t>。130481199105250090</t>
        </is>
      </c>
      <c r="AD51" s="136" t="inlineStr">
        <is>
          <t>籍洋 中信银行6217680205262210 中信银行上海徐家汇支行</t>
        </is>
      </c>
      <c r="AF51" s="160" t="n"/>
    </row>
    <row r="52" customFormat="1" s="136">
      <c r="Y52" s="159" t="n"/>
      <c r="AF52" s="160" t="n"/>
    </row>
    <row r="53" customFormat="1" s="136">
      <c r="A53" s="136" t="inlineStr">
        <is>
          <t>第三个脱敏</t>
        </is>
      </c>
      <c r="B53" s="136" t="inlineStr">
        <is>
          <t>蔡瑞璋（2022-2-28离职）</t>
        </is>
      </c>
      <c r="D53" s="136" t="inlineStr">
        <is>
          <t>测试工程师</t>
        </is>
      </c>
      <c r="E53" s="136" t="n">
        <v>44496</v>
      </c>
      <c r="F53" s="136" t="inlineStr">
        <is>
          <t>2022年1月26</t>
        </is>
      </c>
      <c r="G53" s="136" t="n">
        <v>44501</v>
      </c>
      <c r="H53" s="136" t="inlineStr">
        <is>
          <t>南京</t>
        </is>
      </c>
      <c r="I53" s="136" t="inlineStr">
        <is>
          <t>南京</t>
        </is>
      </c>
      <c r="J53" s="136" t="n">
        <v>11000</v>
      </c>
      <c r="K53" s="136" t="n">
        <v>11000</v>
      </c>
      <c r="L53" s="136" t="n">
        <v>3800</v>
      </c>
      <c r="M53" s="136" t="inlineStr">
        <is>
          <t>3000*10%</t>
        </is>
      </c>
      <c r="N53" s="136" t="n">
        <v>1314.6</v>
      </c>
      <c r="O53" s="136" t="n">
        <v>709</v>
      </c>
      <c r="P53" s="136" t="inlineStr">
        <is>
          <t>50/月</t>
        </is>
      </c>
      <c r="Q53" s="136" t="inlineStr">
        <is>
          <t>有</t>
        </is>
      </c>
      <c r="R53" s="537" t="n"/>
      <c r="S53" s="538" t="n"/>
      <c r="T53" s="136" t="n">
        <v>3</v>
      </c>
      <c r="U53" s="136" t="n">
        <v>3</v>
      </c>
      <c r="V53" s="136" t="inlineStr">
        <is>
          <t>计算机应用技术</t>
        </is>
      </c>
      <c r="W53" s="136" t="n">
        <v>43598</v>
      </c>
      <c r="X53" s="136" t="inlineStr">
        <is>
          <t>大专</t>
        </is>
      </c>
      <c r="Y53" s="159" t="inlineStr">
        <is>
          <t>cairuizhang02@163.com</t>
        </is>
      </c>
      <c r="Z53" s="136" t="inlineStr">
        <is>
          <t>南京栖霞区华润幸福里5号1单元1801</t>
        </is>
      </c>
      <c r="AA53" s="136" t="inlineStr">
        <is>
          <t>浙江省瑞安市马屿镇篁社协山村</t>
        </is>
      </c>
      <c r="AB53" s="136" t="n">
        <v>13269965973</v>
      </c>
      <c r="AC53" s="521" t="inlineStr">
        <is>
          <t>330381199702014215</t>
        </is>
      </c>
      <c r="AD53" s="136" t="inlineStr">
        <is>
          <t>蔡瑞璋建行6217 0013 7005 2983 350</t>
        </is>
      </c>
      <c r="AE53" s="136" t="inlineStr">
        <is>
          <t>小罗请假2小时</t>
        </is>
      </c>
      <c r="AF53" s="160" t="inlineStr">
        <is>
          <t>2022-2-28离职</t>
        </is>
      </c>
    </row>
    <row r="54" customFormat="1" s="136">
      <c r="A54" s="136" t="inlineStr">
        <is>
          <t>第四个脱敏</t>
        </is>
      </c>
      <c r="B54" s="136" t="inlineStr">
        <is>
          <t>王蝶（2022-2-28离职）</t>
        </is>
      </c>
      <c r="D54" s="136" t="inlineStr">
        <is>
          <t>测试工程师</t>
        </is>
      </c>
      <c r="E54" s="136" t="n">
        <v>44490</v>
      </c>
      <c r="F54" s="136" t="inlineStr">
        <is>
          <t>2022年1月20</t>
        </is>
      </c>
      <c r="G54" s="136" t="inlineStr">
        <is>
          <t>2021年11月份</t>
        </is>
      </c>
      <c r="H54" s="136" t="inlineStr">
        <is>
          <t>南京</t>
        </is>
      </c>
      <c r="I54" s="136" t="inlineStr">
        <is>
          <t>南京</t>
        </is>
      </c>
      <c r="J54" s="136" t="n">
        <v>6000</v>
      </c>
      <c r="K54" s="136" t="n">
        <v>7500</v>
      </c>
      <c r="L54" s="136" t="n">
        <v>3800</v>
      </c>
      <c r="M54" s="136" t="inlineStr">
        <is>
          <t>底薪*0.8*10=600（公司600）</t>
        </is>
      </c>
      <c r="N54" s="136" t="n">
        <v>1614.6</v>
      </c>
      <c r="O54" s="136" t="n">
        <v>1009</v>
      </c>
      <c r="P54" s="136" t="inlineStr">
        <is>
          <t>50/月</t>
        </is>
      </c>
      <c r="Q54" s="136" t="inlineStr">
        <is>
          <t>有</t>
        </is>
      </c>
      <c r="R54" s="537" t="n"/>
      <c r="S54" s="538" t="n"/>
      <c r="T54" s="136" t="n">
        <v>3</v>
      </c>
      <c r="U54" s="136" t="n">
        <v>3</v>
      </c>
      <c r="V54" s="136" t="inlineStr">
        <is>
          <t>计算机科学与技术</t>
        </is>
      </c>
      <c r="W54" s="136" t="n">
        <v>2020.06</v>
      </c>
      <c r="X54" s="136" t="inlineStr">
        <is>
          <t>本科</t>
        </is>
      </c>
      <c r="Y54" s="159" t="inlineStr">
        <is>
          <t>1663601726@qq.com</t>
        </is>
      </c>
      <c r="Z54" s="136" t="inlineStr">
        <is>
          <t>江苏省宝应县安宜镇白田村联心组55号</t>
        </is>
      </c>
      <c r="AA54" s="136" t="inlineStr">
        <is>
          <t>江苏省宝应县安宜镇白田村联心组55号</t>
        </is>
      </c>
      <c r="AB54" s="136" t="n">
        <v>15751058086</v>
      </c>
      <c r="AC54" s="521" t="inlineStr">
        <is>
          <t>321023199803125220</t>
        </is>
      </c>
      <c r="AD54" s="136" t="inlineStr">
        <is>
          <t>王蝶 建行6217 0013 7005 3041 919</t>
        </is>
      </c>
      <c r="AE54" s="136" t="inlineStr">
        <is>
          <t>小罗请假2小时</t>
        </is>
      </c>
      <c r="AF54" s="160" t="inlineStr">
        <is>
          <t>2022-2-28离职</t>
        </is>
      </c>
    </row>
    <row r="55" customFormat="1" s="136">
      <c r="A55" s="136" t="inlineStr">
        <is>
          <t>第五个脱敏</t>
        </is>
      </c>
      <c r="B55" s="136" t="inlineStr">
        <is>
          <t>苌永彬（2021年11月30日离职）</t>
        </is>
      </c>
      <c r="D55" s="136" t="inlineStr">
        <is>
          <t>前端工程师</t>
        </is>
      </c>
      <c r="E55" s="140" t="n">
        <v>44511</v>
      </c>
      <c r="F55" s="140" t="n">
        <v>44238</v>
      </c>
      <c r="G55" s="140" t="inlineStr">
        <is>
          <t>2021/11月</t>
        </is>
      </c>
      <c r="H55" s="136" t="inlineStr">
        <is>
          <t>深圳</t>
        </is>
      </c>
      <c r="I55" s="136" t="inlineStr">
        <is>
          <t>深圳</t>
        </is>
      </c>
      <c r="J55" s="136" t="n">
        <v>27900</v>
      </c>
      <c r="K55" s="136" t="n">
        <v>31000</v>
      </c>
      <c r="L55" s="136" t="n">
        <v>2200</v>
      </c>
      <c r="M55" s="136" t="inlineStr">
        <is>
          <t>2200（公司110）</t>
        </is>
      </c>
      <c r="P55" s="136" t="inlineStr">
        <is>
          <t>邦芒50/月</t>
        </is>
      </c>
      <c r="Q55" s="136" t="inlineStr">
        <is>
          <t>无</t>
        </is>
      </c>
      <c r="R55" s="136" t="inlineStr">
        <is>
          <t>无</t>
        </is>
      </c>
      <c r="S55" s="136" t="inlineStr">
        <is>
          <t>有</t>
        </is>
      </c>
      <c r="T55" s="136" t="n">
        <v>3</v>
      </c>
      <c r="U55" s="136" t="n">
        <v>3</v>
      </c>
      <c r="V55" s="136" t="inlineStr">
        <is>
          <t>前端工程师</t>
        </is>
      </c>
      <c r="W55" s="140" t="n">
        <v>38169</v>
      </c>
      <c r="X55" s="136" t="inlineStr">
        <is>
          <t>本科</t>
        </is>
      </c>
      <c r="Y55" s="159" t="inlineStr">
        <is>
          <t>249615584@qq.com</t>
        </is>
      </c>
      <c r="Z55" s="136" t="inlineStr">
        <is>
          <t>广东省深圳市宝安区新安街道甲岸花园8栋501</t>
        </is>
      </c>
      <c r="AA55" s="136" t="inlineStr">
        <is>
          <t>河南省社旗县兴隆镇中兴西路61号附375号</t>
        </is>
      </c>
      <c r="AB55" s="136" t="n">
        <v>18824311776</v>
      </c>
      <c r="AC55" s="521" t="inlineStr">
        <is>
          <t>411329198001232819</t>
        </is>
      </c>
      <c r="AD55" s="136" t="inlineStr">
        <is>
          <t>苌永彬建行 6217007200046919679</t>
        </is>
      </c>
      <c r="AE55" s="136" t="inlineStr">
        <is>
          <t>快递费？</t>
        </is>
      </c>
      <c r="AF55" s="160" t="inlineStr">
        <is>
          <t>2021年11月30日离职</t>
        </is>
      </c>
    </row>
    <row r="56" customFormat="1" s="136">
      <c r="A56" s="136" t="inlineStr">
        <is>
          <t>第六个脱敏</t>
        </is>
      </c>
      <c r="B56" s="136" t="inlineStr">
        <is>
          <t>许自征（此人和邦芒杭州签合同-2022-2-28离职）</t>
        </is>
      </c>
      <c r="D56" s="136" t="inlineStr">
        <is>
          <t>AI算法工程师</t>
        </is>
      </c>
      <c r="E56" s="140" t="n">
        <v>44510</v>
      </c>
      <c r="F56" s="140" t="n">
        <v>44237</v>
      </c>
      <c r="G56" s="155" t="inlineStr">
        <is>
          <t>2021/11月</t>
        </is>
      </c>
      <c r="H56" s="136" t="inlineStr">
        <is>
          <t>杭州</t>
        </is>
      </c>
      <c r="I56" s="136" t="inlineStr">
        <is>
          <t>杭州</t>
        </is>
      </c>
      <c r="J56" s="136" t="n">
        <v>22500</v>
      </c>
      <c r="K56" s="136" t="n">
        <v>25000</v>
      </c>
      <c r="L56" s="136" t="n">
        <v>3957</v>
      </c>
      <c r="M56" s="136" t="inlineStr">
        <is>
          <t>2280（公司228）</t>
        </is>
      </c>
      <c r="N56" s="136" t="n">
        <v>1247.42</v>
      </c>
      <c r="O56" s="136" t="n">
        <v>689.41</v>
      </c>
      <c r="P56" s="136" t="inlineStr">
        <is>
          <t>邦芒80/月</t>
        </is>
      </c>
      <c r="Q56" s="136" t="inlineStr">
        <is>
          <t>有</t>
        </is>
      </c>
      <c r="R56" s="537" t="n"/>
      <c r="S56" s="538" t="n"/>
      <c r="T56" s="136" t="n">
        <v>3</v>
      </c>
      <c r="U56" s="136" t="n">
        <v>3</v>
      </c>
      <c r="V56" s="136" t="inlineStr">
        <is>
          <t>化学工程与工艺</t>
        </is>
      </c>
      <c r="W56" s="140" t="n">
        <v>42181</v>
      </c>
      <c r="X56" s="136" t="inlineStr">
        <is>
          <t>本科</t>
        </is>
      </c>
      <c r="Y56" s="159" t="inlineStr">
        <is>
          <t>zizhengxu@foxmail.com</t>
        </is>
      </c>
      <c r="Z56" s="136" t="inlineStr">
        <is>
          <t>许自征： 18464877667  杭州市余杭区西溪北苑西区47栋2单元</t>
        </is>
      </c>
      <c r="AA56" s="136" t="inlineStr">
        <is>
          <t>山东省肥城市孙伯镇孙东村271号</t>
        </is>
      </c>
      <c r="AB56" s="136" t="n">
        <v>18464877667</v>
      </c>
      <c r="AC56" s="521" t="inlineStr">
        <is>
          <t>370983199012315013</t>
        </is>
      </c>
      <c r="AD56" s="136" t="inlineStr">
        <is>
          <t>许自征建行 6217002220018076956</t>
        </is>
      </c>
      <c r="AE56" s="136" t="inlineStr">
        <is>
          <t>快递费？</t>
        </is>
      </c>
      <c r="AF56" s="160" t="inlineStr">
        <is>
          <t>2022-2-28离职</t>
        </is>
      </c>
    </row>
    <row r="57" customFormat="1" s="136">
      <c r="A57" s="136" t="inlineStr">
        <is>
          <t>第七个脱敏</t>
        </is>
      </c>
      <c r="B57" s="136" t="inlineStr">
        <is>
          <t>罗业钊（2022-4-20离职）</t>
        </is>
      </c>
      <c r="D57" s="136" t="inlineStr">
        <is>
          <t>硬件测试工程师</t>
        </is>
      </c>
      <c r="E57" s="140" t="n">
        <v>44538</v>
      </c>
      <c r="F57" s="156" t="n">
        <v>44627</v>
      </c>
      <c r="G57" s="136" t="inlineStr">
        <is>
          <t>2021/12月</t>
        </is>
      </c>
      <c r="H57" s="136" t="inlineStr">
        <is>
          <t>东莞</t>
        </is>
      </c>
      <c r="I57" s="136" t="inlineStr">
        <is>
          <t>东莞</t>
        </is>
      </c>
      <c r="J57" s="136" t="n">
        <v>10350</v>
      </c>
      <c r="K57" s="136" t="n">
        <v>11500</v>
      </c>
      <c r="L57" s="136" t="n">
        <v>3958</v>
      </c>
      <c r="M57" s="136" t="n">
        <v>3000</v>
      </c>
      <c r="N57" s="136" t="n">
        <v>847.99</v>
      </c>
      <c r="O57" s="136" t="n">
        <v>503.69</v>
      </c>
      <c r="P57" s="136" t="inlineStr">
        <is>
          <t xml:space="preserve">邦芒50/月 </t>
        </is>
      </c>
      <c r="Q57" s="136" t="inlineStr">
        <is>
          <t>有</t>
        </is>
      </c>
      <c r="R57" s="136" t="inlineStr">
        <is>
          <t>有</t>
        </is>
      </c>
      <c r="S57" s="136" t="inlineStr">
        <is>
          <t>无，其中加班费（15元/小时）</t>
        </is>
      </c>
      <c r="T57" s="136" t="n">
        <v>3</v>
      </c>
      <c r="U57" s="136" t="n">
        <v>3</v>
      </c>
      <c r="V57" s="136" t="inlineStr">
        <is>
          <t>材料成型及控制工程</t>
        </is>
      </c>
      <c r="W57" s="140" t="n">
        <v>42917</v>
      </c>
      <c r="X57" s="136" t="inlineStr">
        <is>
          <t>统招本科</t>
        </is>
      </c>
      <c r="Y57" s="136" t="inlineStr">
        <is>
          <t>721686980@qq.com</t>
        </is>
      </c>
      <c r="Z57" s="136" t="inlineStr">
        <is>
          <t>广东省东莞市大朗镇黎贝岭五巷一号</t>
        </is>
      </c>
      <c r="AA57" s="136" t="inlineStr">
        <is>
          <t>广西藤县古龙镇合隆村下寨组9-1号</t>
        </is>
      </c>
      <c r="AB57" s="136" t="n">
        <v>13798254753</v>
      </c>
      <c r="AC57" s="521" t="inlineStr">
        <is>
          <t>450422199406293814</t>
        </is>
      </c>
      <c r="AD57" s="136" t="inlineStr">
        <is>
          <t>罗业钊 中国银行6216602000004261200</t>
        </is>
      </c>
      <c r="AE57" s="136" t="inlineStr">
        <is>
          <t>中国银行深圳公明支行</t>
        </is>
      </c>
      <c r="AF57" s="160" t="n"/>
    </row>
    <row r="58" customFormat="1" s="136">
      <c r="A58" s="136" t="inlineStr">
        <is>
          <t>第8个脱敏</t>
        </is>
      </c>
      <c r="B58" s="136" t="inlineStr">
        <is>
          <t>李元军（干三天离职2021年11月11日离职 要发薪）</t>
        </is>
      </c>
      <c r="C58" s="136" t="inlineStr">
        <is>
          <t>2021年11月11日已经离职</t>
        </is>
      </c>
      <c r="D58" s="136" t="inlineStr">
        <is>
          <t>测试pm</t>
        </is>
      </c>
      <c r="E58" s="140" t="n">
        <v>44508</v>
      </c>
      <c r="F58" s="156" t="n">
        <v>44599</v>
      </c>
      <c r="G58" s="136" t="inlineStr">
        <is>
          <t>2021/11月</t>
        </is>
      </c>
      <c r="H58" s="136" t="inlineStr">
        <is>
          <t>东莞</t>
        </is>
      </c>
      <c r="I58" s="136" t="inlineStr">
        <is>
          <t>东莞</t>
        </is>
      </c>
      <c r="J58" s="136" t="n">
        <v>11200</v>
      </c>
      <c r="K58" s="136" t="n">
        <v>14000</v>
      </c>
      <c r="L58" s="136" t="n">
        <v>3958</v>
      </c>
      <c r="M58" s="136" t="inlineStr">
        <is>
          <t>1780*5%</t>
        </is>
      </c>
      <c r="N58" s="136" t="n">
        <v>0</v>
      </c>
      <c r="O58" s="136" t="n">
        <v>0</v>
      </c>
      <c r="P58" s="136" t="n">
        <v>0</v>
      </c>
      <c r="Q58" s="136" t="inlineStr">
        <is>
          <t>无</t>
        </is>
      </c>
      <c r="R58" s="136" t="inlineStr">
        <is>
          <t>无</t>
        </is>
      </c>
      <c r="S58" s="136" t="inlineStr">
        <is>
          <t>有</t>
        </is>
      </c>
      <c r="T58" s="136" t="n">
        <v>3</v>
      </c>
      <c r="U58" s="136" t="n">
        <v>3</v>
      </c>
      <c r="V58" s="136" t="inlineStr">
        <is>
          <t>软件技术</t>
        </is>
      </c>
      <c r="W58" s="140" t="n">
        <v>42917</v>
      </c>
      <c r="X58" s="136" t="inlineStr">
        <is>
          <t>专科</t>
        </is>
      </c>
      <c r="Y58" s="136" t="inlineStr">
        <is>
          <t>e1106326917@163.com</t>
        </is>
      </c>
      <c r="Z58" s="136" t="inlineStr">
        <is>
          <t>广东省东莞市梨贝岭新围仔二路90号水墨逸家公寓</t>
        </is>
      </c>
      <c r="AA58" s="136" t="inlineStr">
        <is>
          <t>江西省宜春市袁州区天台镇若演村马兰江组24号</t>
        </is>
      </c>
      <c r="AB58" s="136" t="n">
        <v>15270435467</v>
      </c>
      <c r="AC58" s="521" t="inlineStr">
        <is>
          <t>362201199310094017</t>
        </is>
      </c>
      <c r="AD58" s="136" t="inlineStr">
        <is>
          <t>蔡佩洁6217003180001278630</t>
        </is>
      </c>
      <c r="AE58" s="136" t="inlineStr">
        <is>
          <t>快递费？</t>
        </is>
      </c>
      <c r="AF58" s="160" t="inlineStr">
        <is>
          <t>2021年11月11日已经离职</t>
        </is>
      </c>
    </row>
    <row r="59" customFormat="1" s="136">
      <c r="A59" s="136" t="inlineStr">
        <is>
          <t>第9个脱敏</t>
        </is>
      </c>
      <c r="B59" s="136" t="inlineStr">
        <is>
          <t>顾韬（从未入职 不发薪 就当没这个人）</t>
        </is>
      </c>
      <c r="D59" s="136" t="inlineStr">
        <is>
          <t>安卓framwork开发工程师</t>
        </is>
      </c>
      <c r="E59" s="136" t="inlineStr">
        <is>
          <t>2021.12.15</t>
        </is>
      </c>
      <c r="F59" s="140" t="n">
        <v>44634</v>
      </c>
      <c r="G59" s="136" t="inlineStr">
        <is>
          <t>2021/12月</t>
        </is>
      </c>
      <c r="H59" s="136" t="inlineStr">
        <is>
          <t>南京</t>
        </is>
      </c>
      <c r="I59" s="136" t="inlineStr">
        <is>
          <t>南京</t>
        </is>
      </c>
      <c r="J59" s="136" t="n">
        <v>25000</v>
      </c>
      <c r="K59" s="136" t="n">
        <v>25000</v>
      </c>
      <c r="L59" s="136" t="n">
        <v>3800</v>
      </c>
      <c r="M59" s="136" t="inlineStr">
        <is>
          <t>16800（公司1680）</t>
        </is>
      </c>
      <c r="N59" s="136" t="inlineStr">
        <is>
          <t>/</t>
        </is>
      </c>
      <c r="O59" s="136" t="inlineStr">
        <is>
          <t>/</t>
        </is>
      </c>
      <c r="P59" s="136" t="inlineStr">
        <is>
          <t>邦芒50/月</t>
        </is>
      </c>
      <c r="Q59" s="136" t="inlineStr">
        <is>
          <t>有</t>
        </is>
      </c>
      <c r="R59" s="537" t="n"/>
      <c r="S59" s="538" t="n"/>
      <c r="T59" s="136" t="n">
        <v>3</v>
      </c>
      <c r="U59" s="136" t="n">
        <v>3</v>
      </c>
      <c r="V59" s="136" t="inlineStr">
        <is>
          <t>通信工程</t>
        </is>
      </c>
      <c r="W59" s="140" t="n">
        <v>41791</v>
      </c>
      <c r="X59" s="136" t="inlineStr">
        <is>
          <t>本科</t>
        </is>
      </c>
      <c r="Y59" s="136" t="inlineStr">
        <is>
          <t>gtl1011@163.com</t>
        </is>
      </c>
      <c r="Z59" s="136" t="inlineStr">
        <is>
          <t>/</t>
        </is>
      </c>
      <c r="AA59" s="136" t="inlineStr">
        <is>
          <t>/</t>
        </is>
      </c>
      <c r="AB59" s="136" t="n">
        <v>15751058086</v>
      </c>
      <c r="AC59" s="521" t="inlineStr">
        <is>
          <t>320831199110110000</t>
        </is>
      </c>
      <c r="AD59" s="136" t="inlineStr">
        <is>
          <t>/</t>
        </is>
      </c>
      <c r="AF59" s="160" t="n"/>
    </row>
    <row r="60" customFormat="1" s="136">
      <c r="A60" s="136" t="inlineStr">
        <is>
          <t>第十脱敏</t>
        </is>
      </c>
      <c r="B60" s="136" t="inlineStr">
        <is>
          <t>伍翠玲（文石缴纳-2022-4-29离职）</t>
        </is>
      </c>
      <c r="C60" s="135" t="n">
        <v>1882076136</v>
      </c>
      <c r="D60" s="136" t="inlineStr">
        <is>
          <t>SPM</t>
        </is>
      </c>
      <c r="E60" s="140" t="n">
        <v>44543</v>
      </c>
      <c r="F60" s="156" t="inlineStr">
        <is>
          <t>2024年12月12</t>
        </is>
      </c>
      <c r="G60" s="136" t="inlineStr">
        <is>
          <t>2021/12月</t>
        </is>
      </c>
      <c r="H60" s="136" t="inlineStr">
        <is>
          <t>南京</t>
        </is>
      </c>
      <c r="I60" s="136" t="inlineStr">
        <is>
          <t>南京</t>
        </is>
      </c>
      <c r="J60" s="136" t="n">
        <v>22000</v>
      </c>
      <c r="K60" s="136" t="n">
        <v>22000</v>
      </c>
      <c r="L60" s="136" t="n">
        <v>3800</v>
      </c>
      <c r="M60" s="136" t="n">
        <v>33600</v>
      </c>
      <c r="P60" s="136" t="inlineStr">
        <is>
          <t>文石50/月</t>
        </is>
      </c>
      <c r="Q60" s="136" t="inlineStr">
        <is>
          <t xml:space="preserve"> 有</t>
        </is>
      </c>
      <c r="R60" s="537" t="n"/>
      <c r="S60" s="538" t="n"/>
      <c r="T60" s="136" t="n">
        <v>3</v>
      </c>
      <c r="U60" s="136" t="n">
        <v>3</v>
      </c>
      <c r="V60" s="136" t="inlineStr">
        <is>
          <t>计算机与文秘</t>
        </is>
      </c>
      <c r="W60" s="140" t="n">
        <v>40360</v>
      </c>
      <c r="X60" s="136" t="inlineStr">
        <is>
          <t>大专</t>
        </is>
      </c>
      <c r="Y60" s="136" t="inlineStr">
        <is>
          <t>441088613@qq.com</t>
        </is>
      </c>
      <c r="Z60" s="136" t="inlineStr">
        <is>
          <t>南京市中海城南公馆</t>
        </is>
      </c>
      <c r="AA60" s="136" t="inlineStr">
        <is>
          <t>安徽省芜湖市三山区峨桥镇浮城村伍村组130号</t>
        </is>
      </c>
      <c r="AB60" s="136" t="n">
        <v>15850667613</v>
      </c>
      <c r="AC60" s="521" t="inlineStr">
        <is>
          <t>340222198908173846</t>
        </is>
      </c>
      <c r="AD60" s="136" t="inlineStr">
        <is>
          <t>伍翠玲建行6217001370003421518</t>
        </is>
      </c>
      <c r="AE60" s="162" t="inlineStr">
        <is>
          <t>3201000299959530公积金</t>
        </is>
      </c>
      <c r="AF60" s="160" t="n"/>
    </row>
    <row r="61" customFormat="1" s="136">
      <c r="A61" s="136" t="inlineStr">
        <is>
          <t>第十一个脱敏</t>
        </is>
      </c>
      <c r="B61" s="136" t="inlineStr">
        <is>
          <t>樊祥彤（从未入职 不发薪 就当没这个人）</t>
        </is>
      </c>
      <c r="D61" s="136" t="inlineStr">
        <is>
          <t>Android开发工程师</t>
        </is>
      </c>
      <c r="E61" s="140" t="n">
        <v>44533</v>
      </c>
      <c r="F61" s="140" t="n">
        <v>44623</v>
      </c>
      <c r="G61" s="136" t="inlineStr">
        <is>
          <t>2021/12月</t>
        </is>
      </c>
      <c r="H61" s="136" t="inlineStr">
        <is>
          <t>南京</t>
        </is>
      </c>
      <c r="I61" s="136" t="inlineStr">
        <is>
          <t>南京</t>
        </is>
      </c>
      <c r="J61" s="136" t="n">
        <v>13600</v>
      </c>
      <c r="K61" s="136" t="n">
        <v>17000</v>
      </c>
      <c r="L61" s="136" t="n">
        <v>5000</v>
      </c>
      <c r="M61" s="136" t="n">
        <v>16800</v>
      </c>
      <c r="N61" s="136" t="inlineStr">
        <is>
          <t>/</t>
        </is>
      </c>
      <c r="O61" s="136" t="inlineStr">
        <is>
          <t>/</t>
        </is>
      </c>
      <c r="P61" s="136" t="inlineStr">
        <is>
          <t>邦芒50/月</t>
        </is>
      </c>
      <c r="Q61" s="136" t="n">
        <v>18</v>
      </c>
      <c r="R61" s="136" t="n">
        <v>12</v>
      </c>
      <c r="S61" s="136" t="n">
        <v>18</v>
      </c>
      <c r="T61" s="136" t="n">
        <v>3</v>
      </c>
      <c r="U61" s="136" t="n">
        <v>3</v>
      </c>
      <c r="V61" s="136" t="inlineStr">
        <is>
          <t>网络工程</t>
        </is>
      </c>
      <c r="W61" s="140" t="n">
        <v>41153</v>
      </c>
      <c r="X61" s="136" t="inlineStr">
        <is>
          <t>本科</t>
        </is>
      </c>
      <c r="Y61" s="136" t="inlineStr">
        <is>
          <t>16651612230@163.com</t>
        </is>
      </c>
      <c r="Z61" s="136" t="inlineStr">
        <is>
          <t>/</t>
        </is>
      </c>
      <c r="AA61" s="136" t="inlineStr">
        <is>
          <t>/</t>
        </is>
      </c>
      <c r="AB61" s="136" t="inlineStr">
        <is>
          <t xml:space="preserve">16651612230 </t>
        </is>
      </c>
      <c r="AC61" s="521" t="inlineStr">
        <is>
          <t>372928199202035810</t>
        </is>
      </c>
      <c r="AD61" s="136" t="inlineStr">
        <is>
          <t>/</t>
        </is>
      </c>
      <c r="AF61" s="160" t="n"/>
    </row>
    <row r="62" customFormat="1" s="136">
      <c r="A62" s="136" t="inlineStr">
        <is>
          <t>第十二个脱敏</t>
        </is>
      </c>
      <c r="B62" s="136" t="inlineStr">
        <is>
          <t>戴天（20年2年4月8日已离职）</t>
        </is>
      </c>
      <c r="D62" s="136" t="inlineStr">
        <is>
          <t>C++开发</t>
        </is>
      </c>
      <c r="E62" s="140" t="n">
        <v>44529</v>
      </c>
      <c r="F62" s="136" t="inlineStr">
        <is>
          <t>2022年2月28</t>
        </is>
      </c>
      <c r="G62" s="136" t="inlineStr">
        <is>
          <t>2021/12月</t>
        </is>
      </c>
      <c r="H62" s="136" t="inlineStr">
        <is>
          <t>南京</t>
        </is>
      </c>
      <c r="I62" s="136" t="inlineStr">
        <is>
          <t>南京</t>
        </is>
      </c>
      <c r="J62" s="136" t="n">
        <v>16000</v>
      </c>
      <c r="K62" s="136" t="n">
        <v>20000</v>
      </c>
      <c r="L62" s="136" t="n">
        <v>3800</v>
      </c>
      <c r="M62" s="136" t="n">
        <v>3000</v>
      </c>
      <c r="P62" s="136" t="inlineStr">
        <is>
          <t>邦芒50/月</t>
        </is>
      </c>
      <c r="Q62" s="136" t="n">
        <v>18</v>
      </c>
      <c r="R62" s="136" t="n">
        <v>12</v>
      </c>
      <c r="S62" s="136" t="n">
        <v>18</v>
      </c>
      <c r="T62" s="136" t="n">
        <v>3</v>
      </c>
      <c r="U62" s="136" t="n">
        <v>3</v>
      </c>
      <c r="V62" s="136" t="inlineStr">
        <is>
          <t>电子信息工程</t>
        </is>
      </c>
      <c r="W62" s="136" t="inlineStr">
        <is>
          <t>2017.7.1</t>
        </is>
      </c>
      <c r="X62" s="136" t="inlineStr">
        <is>
          <t>本科</t>
        </is>
      </c>
      <c r="Y62" s="159" t="inlineStr">
        <is>
          <t>742593066@qq.com</t>
        </is>
      </c>
      <c r="Z62" s="136" t="inlineStr">
        <is>
          <t>戴天收件地址：江宁区帝景天誉北区别墅区11－104，15556098721</t>
        </is>
      </c>
      <c r="AA62" s="136" t="inlineStr">
        <is>
          <t>安徽省蒙城县马集镇驼店村西前庄29-1号</t>
        </is>
      </c>
      <c r="AB62" s="136" t="n">
        <v>15556098721</v>
      </c>
      <c r="AC62" s="521" t="inlineStr">
        <is>
          <t>341224199406015811</t>
        </is>
      </c>
      <c r="AD62" s="136" t="inlineStr">
        <is>
          <t>戴天建行6217001370043724152</t>
        </is>
      </c>
      <c r="AF62" s="160" t="inlineStr">
        <is>
          <t>2022-4-8已离职</t>
        </is>
      </c>
    </row>
    <row r="63" customFormat="1" s="136">
      <c r="A63" s="136" t="inlineStr">
        <is>
          <t>第十三个脱敏</t>
        </is>
      </c>
      <c r="B63" s="136" t="inlineStr">
        <is>
          <t>李明（文石缴纳-2022-8-24离职）</t>
        </is>
      </c>
      <c r="C63" s="136" t="n">
        <v>1887680657</v>
      </c>
      <c r="D63" s="136" t="inlineStr">
        <is>
          <t>BSP</t>
        </is>
      </c>
      <c r="E63" s="136" t="inlineStr">
        <is>
          <t>2021.12.8</t>
        </is>
      </c>
      <c r="F63" s="156" t="n">
        <v>44627</v>
      </c>
      <c r="G63" s="136" t="inlineStr">
        <is>
          <t>2021/12月</t>
        </is>
      </c>
      <c r="H63" s="136" t="inlineStr">
        <is>
          <t>南京</t>
        </is>
      </c>
      <c r="I63" s="136" t="inlineStr">
        <is>
          <t>南京</t>
        </is>
      </c>
      <c r="J63" s="136" t="n">
        <v>24000</v>
      </c>
      <c r="K63" s="136" t="n">
        <v>24000</v>
      </c>
      <c r="L63" s="136" t="n">
        <v>5000</v>
      </c>
      <c r="M63" s="136" t="n">
        <v>16800</v>
      </c>
      <c r="P63" s="136" t="inlineStr">
        <is>
          <t>邦芒50/月</t>
        </is>
      </c>
      <c r="Q63" s="136" t="n">
        <v>18</v>
      </c>
      <c r="R63" s="136" t="n">
        <v>12</v>
      </c>
      <c r="S63" s="136" t="n">
        <v>18</v>
      </c>
      <c r="T63" s="136" t="n">
        <v>3</v>
      </c>
      <c r="U63" s="136" t="n">
        <v>3</v>
      </c>
      <c r="V63" s="136" t="inlineStr">
        <is>
          <t>电气工程及其自动化</t>
        </is>
      </c>
      <c r="W63" s="136" t="inlineStr">
        <is>
          <t>2017年</t>
        </is>
      </c>
      <c r="X63" s="136" t="inlineStr">
        <is>
          <t>本科</t>
        </is>
      </c>
      <c r="Y63" s="159" t="inlineStr">
        <is>
          <t>Smoonslee@163.com</t>
        </is>
      </c>
      <c r="Z63" s="136" t="inlineStr">
        <is>
          <t>南京市雨花台区铁心桥</t>
        </is>
      </c>
      <c r="AA63" s="136" t="inlineStr">
        <is>
          <t>安徽省枞阳县山镇新开村齐心组2号</t>
        </is>
      </c>
      <c r="AB63" s="136" t="n">
        <v>19952404230</v>
      </c>
      <c r="AC63" s="521" t="inlineStr">
        <is>
          <t>340823199412054417</t>
        </is>
      </c>
      <c r="AD63" s="136" t="inlineStr">
        <is>
          <t>李明建行6214671370006076190</t>
        </is>
      </c>
      <c r="AE63" s="136" t="inlineStr">
        <is>
          <t>公积金账号3201000445204297</t>
        </is>
      </c>
      <c r="AF63" s="160" t="n"/>
    </row>
    <row r="64" customFormat="1" s="136">
      <c r="A64" s="136" t="inlineStr">
        <is>
          <t>第十四个脱敏</t>
        </is>
      </c>
      <c r="B64" s="136" t="inlineStr">
        <is>
          <t>杨冉（12月1日已离职 不发薪 就当没这个人）</t>
        </is>
      </c>
      <c r="D64" s="136" t="inlineStr">
        <is>
          <t>安卓开发工程师</t>
        </is>
      </c>
      <c r="E64" s="136" t="inlineStr">
        <is>
          <t>2021.11.29</t>
        </is>
      </c>
      <c r="F64" s="156" t="n">
        <v>44620</v>
      </c>
      <c r="G64" s="136" t="inlineStr">
        <is>
          <t>2021/12月</t>
        </is>
      </c>
      <c r="H64" s="136" t="inlineStr">
        <is>
          <t>南京</t>
        </is>
      </c>
      <c r="I64" s="136" t="inlineStr">
        <is>
          <t>南京</t>
        </is>
      </c>
      <c r="J64" s="136" t="n">
        <v>16000</v>
      </c>
      <c r="K64" s="136" t="n">
        <v>20000</v>
      </c>
      <c r="L64" s="136" t="n">
        <v>5000</v>
      </c>
      <c r="M64" s="136" t="n">
        <v>16000</v>
      </c>
      <c r="P64" s="136" t="inlineStr">
        <is>
          <t>邦芒50/月</t>
        </is>
      </c>
      <c r="Q64" s="136" t="inlineStr">
        <is>
          <t>有</t>
        </is>
      </c>
      <c r="R64" s="537" t="n"/>
      <c r="S64" s="538" t="n"/>
      <c r="T64" s="136" t="n">
        <v>3</v>
      </c>
      <c r="U64" s="136" t="n">
        <v>3</v>
      </c>
      <c r="V64" s="136" t="inlineStr">
        <is>
          <t>软件工程</t>
        </is>
      </c>
      <c r="W64" s="140" t="n">
        <v>42552</v>
      </c>
      <c r="X64" s="136" t="inlineStr">
        <is>
          <t>本科</t>
        </is>
      </c>
      <c r="Y64" s="136" t="inlineStr">
        <is>
          <t>leleran@foxmail.com</t>
        </is>
      </c>
      <c r="Z64" s="136" t="inlineStr">
        <is>
          <t>/</t>
        </is>
      </c>
      <c r="AA64" s="136" t="inlineStr">
        <is>
          <t>/</t>
        </is>
      </c>
      <c r="AB64" s="136" t="n">
        <v>17606129674</v>
      </c>
      <c r="AC64" s="521" t="inlineStr">
        <is>
          <t>130627200108053832</t>
        </is>
      </c>
      <c r="AD64" s="136" t="inlineStr">
        <is>
          <t>杨冉不发工资 6217001370053364543</t>
        </is>
      </c>
      <c r="AF64" s="160" t="inlineStr">
        <is>
          <t>2021年12月1日已离职</t>
        </is>
      </c>
    </row>
    <row r="65" customFormat="1" s="136">
      <c r="A65" s="136" t="inlineStr">
        <is>
          <t>第十五个脱敏</t>
        </is>
      </c>
      <c r="B65" s="136" t="inlineStr">
        <is>
          <t>张凯旋（待定入职）</t>
        </is>
      </c>
      <c r="D65" s="136" t="inlineStr">
        <is>
          <t>短距工程师_WIFI</t>
        </is>
      </c>
      <c r="E65" s="136" t="inlineStr">
        <is>
          <t>2022.2.10</t>
        </is>
      </c>
      <c r="F65" s="140" t="n">
        <v>44690</v>
      </c>
      <c r="G65" s="155" t="n">
        <v>44531</v>
      </c>
      <c r="H65" s="136" t="inlineStr">
        <is>
          <t>南京</t>
        </is>
      </c>
      <c r="I65" s="136" t="inlineStr">
        <is>
          <t>南京</t>
        </is>
      </c>
      <c r="J65" s="136" t="n">
        <v>10400</v>
      </c>
      <c r="K65" s="136" t="n">
        <v>13000</v>
      </c>
      <c r="L65" s="136" t="n">
        <v>4000</v>
      </c>
      <c r="M65" s="136" t="inlineStr">
        <is>
          <t>底薪*0.8*10</t>
        </is>
      </c>
      <c r="P65" s="136" t="inlineStr">
        <is>
          <t>邦芒50/月</t>
        </is>
      </c>
      <c r="Q65" s="136" t="inlineStr">
        <is>
          <t>有</t>
        </is>
      </c>
      <c r="R65" s="537" t="n"/>
      <c r="S65" s="538" t="n"/>
      <c r="T65" s="136" t="n">
        <v>3</v>
      </c>
      <c r="U65" s="136" t="n">
        <v>3</v>
      </c>
      <c r="V65" s="136" t="inlineStr">
        <is>
          <t>网络工程</t>
        </is>
      </c>
      <c r="W65" s="140" t="n">
        <v>44013</v>
      </c>
      <c r="X65" s="136" t="inlineStr">
        <is>
          <t>本科</t>
        </is>
      </c>
      <c r="Y65" s="136" t="inlineStr">
        <is>
          <t>kaixuan9703@foxmail.com</t>
        </is>
      </c>
      <c r="Z65" s="136" t="inlineStr">
        <is>
          <t>/</t>
        </is>
      </c>
      <c r="AA65" s="136" t="inlineStr">
        <is>
          <t>/</t>
        </is>
      </c>
      <c r="AB65" s="136" t="n">
        <v>18238017802</v>
      </c>
      <c r="AC65" s="521" t="inlineStr">
        <is>
          <t>411481199704185719</t>
        </is>
      </c>
      <c r="AD65" s="136" t="inlineStr">
        <is>
          <t>/</t>
        </is>
      </c>
      <c r="AF65" s="160" t="n"/>
    </row>
    <row r="66" customFormat="1" s="136">
      <c r="A66" s="136" t="inlineStr">
        <is>
          <t>第十六个脱敏</t>
        </is>
      </c>
      <c r="B66" s="136" t="inlineStr">
        <is>
          <t>张超（从未入职 因为上海做不了补充公积金）试用期6个月</t>
        </is>
      </c>
      <c r="D66" s="136" t="inlineStr">
        <is>
          <t>资深中间件开发工程师</t>
        </is>
      </c>
      <c r="E66" s="140" t="n">
        <v>44537</v>
      </c>
      <c r="F66" s="156" t="n">
        <v>44717</v>
      </c>
      <c r="G66" s="155" t="n">
        <v>44532</v>
      </c>
      <c r="H66" s="136" t="inlineStr">
        <is>
          <t>南京</t>
        </is>
      </c>
      <c r="I66" s="136" t="inlineStr">
        <is>
          <t>南京</t>
        </is>
      </c>
      <c r="J66" s="136" t="n">
        <v>40000</v>
      </c>
      <c r="K66" s="136" t="n">
        <v>40000</v>
      </c>
      <c r="L66" s="136" t="n">
        <v>40000</v>
      </c>
      <c r="M66" s="136" t="n">
        <v>40000</v>
      </c>
      <c r="N66" s="136" t="n">
        <v>10627.18</v>
      </c>
      <c r="O66" s="136" t="n">
        <v>5430.6</v>
      </c>
      <c r="P66" s="136" t="inlineStr">
        <is>
          <t>邦芒50/月</t>
        </is>
      </c>
      <c r="Q66" s="136" t="inlineStr">
        <is>
          <t>有</t>
        </is>
      </c>
      <c r="R66" s="537" t="n"/>
      <c r="S66" s="538" t="n"/>
      <c r="T66" s="136" t="n">
        <v>3</v>
      </c>
      <c r="U66" s="136" t="n">
        <v>3</v>
      </c>
      <c r="V66" s="136" t="inlineStr">
        <is>
          <t>软件工程</t>
        </is>
      </c>
      <c r="W66" s="140" t="n">
        <v>42186</v>
      </c>
      <c r="X66" s="136" t="inlineStr">
        <is>
          <t>硕士</t>
        </is>
      </c>
      <c r="Y66" s="136" t="inlineStr">
        <is>
          <t>18721198997@163.com</t>
        </is>
      </c>
      <c r="Z66" s="136" t="inlineStr">
        <is>
          <t>上海市徐汇区宝石园20号楼</t>
        </is>
      </c>
      <c r="AA66" s="136" t="inlineStr">
        <is>
          <t>/</t>
        </is>
      </c>
      <c r="AB66" s="136" t="n">
        <v>18721198997</v>
      </c>
      <c r="AC66" s="521" t="inlineStr">
        <is>
          <t>220203198706232119</t>
        </is>
      </c>
      <c r="AD66" s="136" t="inlineStr">
        <is>
          <t>/</t>
        </is>
      </c>
      <c r="AE66" s="136" t="inlineStr">
        <is>
          <t>/</t>
        </is>
      </c>
      <c r="AF66" s="160" t="n"/>
    </row>
    <row r="67" customFormat="1" s="136">
      <c r="A67" s="136" t="inlineStr">
        <is>
          <t>第十七个脱敏</t>
        </is>
      </c>
      <c r="B67" s="136" t="inlineStr">
        <is>
          <t>王令（2022年7月24日离职）</t>
        </is>
      </c>
      <c r="D67" s="136" t="inlineStr">
        <is>
          <t>试用工程师</t>
        </is>
      </c>
      <c r="E67" s="140" t="n">
        <v>44575</v>
      </c>
      <c r="F67" s="140" t="n">
        <v>44664</v>
      </c>
      <c r="G67" s="155" t="n">
        <v>44593</v>
      </c>
      <c r="H67" s="136" t="inlineStr">
        <is>
          <t>武汉</t>
        </is>
      </c>
      <c r="I67" s="136" t="inlineStr">
        <is>
          <t>武汉</t>
        </is>
      </c>
      <c r="J67" s="136" t="n">
        <v>16650</v>
      </c>
      <c r="K67" s="136" t="n">
        <v>18500</v>
      </c>
      <c r="L67" s="136" t="n">
        <v>3740</v>
      </c>
      <c r="M67" s="136" t="inlineStr">
        <is>
          <t>3000（公司300）</t>
        </is>
      </c>
      <c r="P67" s="136" t="inlineStr">
        <is>
          <t>邦芒50/月</t>
        </is>
      </c>
      <c r="Q67" s="136" t="inlineStr">
        <is>
          <t>无</t>
        </is>
      </c>
      <c r="R67" s="136" t="inlineStr">
        <is>
          <t>无</t>
        </is>
      </c>
      <c r="S67" s="136" t="inlineStr">
        <is>
          <t>有</t>
        </is>
      </c>
      <c r="T67" s="136" t="n">
        <v>3</v>
      </c>
      <c r="U67" s="136" t="n">
        <v>3</v>
      </c>
      <c r="V67" s="136" t="inlineStr">
        <is>
          <t>通信工程</t>
        </is>
      </c>
      <c r="W67" s="140" t="n">
        <v>41455</v>
      </c>
      <c r="X67" s="136" t="inlineStr">
        <is>
          <t>本科</t>
        </is>
      </c>
      <c r="Y67" s="159" t="inlineStr">
        <is>
          <t>879650201@qq.com</t>
        </is>
      </c>
      <c r="Z67" s="136" t="inlineStr">
        <is>
          <t>武汉市江夏区保利清能西海岸南区G29</t>
        </is>
      </c>
      <c r="AA67" s="136" t="inlineStr">
        <is>
          <t>湖北省随州市曾都区高城镇罗家桥村三组</t>
        </is>
      </c>
      <c r="AB67" s="136" t="n">
        <v>18707128694</v>
      </c>
      <c r="AC67" s="521" t="inlineStr">
        <is>
          <t>421302199008076122</t>
        </is>
      </c>
      <c r="AD67" s="136" t="inlineStr">
        <is>
          <t>王令建行：6217002870096048333</t>
        </is>
      </c>
      <c r="AF67" s="160" t="n"/>
    </row>
    <row r="68" customFormat="1" s="136">
      <c r="A68" s="136" t="inlineStr">
        <is>
          <t>第十八个脱敏</t>
        </is>
      </c>
      <c r="B68" s="136" t="inlineStr">
        <is>
          <t>王文锋（从未入职）</t>
        </is>
      </c>
      <c r="D68" s="136" t="inlineStr">
        <is>
          <t>C++开发工程师</t>
        </is>
      </c>
      <c r="E68" s="140" t="n">
        <v>44566</v>
      </c>
      <c r="F68" s="140" t="n">
        <v>44655</v>
      </c>
      <c r="G68" s="155" t="n">
        <v>44563</v>
      </c>
      <c r="H68" s="136" t="inlineStr">
        <is>
          <t>南京</t>
        </is>
      </c>
      <c r="I68" s="136" t="inlineStr">
        <is>
          <t>南京</t>
        </is>
      </c>
      <c r="J68" s="136" t="n">
        <v>12000</v>
      </c>
      <c r="K68" s="136" t="n">
        <v>15000</v>
      </c>
      <c r="L68" s="136" t="n">
        <v>4250</v>
      </c>
      <c r="M68" s="136" t="inlineStr">
        <is>
          <t>3000的10%（公司交300）</t>
        </is>
      </c>
      <c r="P68" s="136" t="inlineStr">
        <is>
          <t>邦芒50/月</t>
        </is>
      </c>
      <c r="Q68" s="136" t="inlineStr">
        <is>
          <t>有（餐补18 交通12 误餐补正常没有 如果有就是18 按照22天工作日来算）</t>
        </is>
      </c>
      <c r="R68" s="537" t="n"/>
      <c r="S68" s="538" t="n"/>
      <c r="T68" s="136" t="n">
        <v>3</v>
      </c>
      <c r="U68" s="136" t="n">
        <v>3</v>
      </c>
      <c r="V68" s="136" t="inlineStr">
        <is>
          <t>计算机科学与技术</t>
        </is>
      </c>
      <c r="W68" s="140" t="n">
        <v>42186</v>
      </c>
      <c r="X68" s="136" t="inlineStr">
        <is>
          <t>本科</t>
        </is>
      </c>
      <c r="Y68" s="136" t="inlineStr">
        <is>
          <t>1275083148@qq.com</t>
        </is>
      </c>
      <c r="Z68" s="136" t="inlineStr">
        <is>
          <t>/</t>
        </is>
      </c>
      <c r="AA68" s="136" t="inlineStr">
        <is>
          <t>/</t>
        </is>
      </c>
      <c r="AB68" s="136" t="n">
        <v>17327880817</v>
      </c>
      <c r="AC68" s="136" t="inlineStr">
        <is>
          <t>34122519910125405X</t>
        </is>
      </c>
      <c r="AD68" s="136" t="inlineStr">
        <is>
          <t>/</t>
        </is>
      </c>
      <c r="AF68" s="160" t="inlineStr">
        <is>
          <t>从未入职</t>
        </is>
      </c>
    </row>
    <row r="69" customFormat="1" s="136">
      <c r="A69" s="136" t="inlineStr">
        <is>
          <t>第十九个脱敏</t>
        </is>
      </c>
      <c r="B69" s="136" t="inlineStr">
        <is>
          <t>王健富（2022年7月24日离职）</t>
        </is>
      </c>
      <c r="D69" s="136" t="inlineStr">
        <is>
          <t>PM工程师</t>
        </is>
      </c>
      <c r="E69" s="140" t="n">
        <v>44575</v>
      </c>
      <c r="F69" s="156" t="n">
        <v>44664</v>
      </c>
      <c r="G69" s="155" t="n">
        <v>44593</v>
      </c>
      <c r="H69" s="136" t="inlineStr">
        <is>
          <t>武汉</t>
        </is>
      </c>
      <c r="I69" s="136" t="inlineStr">
        <is>
          <t>武汉</t>
        </is>
      </c>
      <c r="J69" s="136" t="n">
        <v>13200</v>
      </c>
      <c r="K69" s="136" t="n">
        <v>16500</v>
      </c>
      <c r="L69" s="136" t="n">
        <v>3740</v>
      </c>
      <c r="M69" s="136" t="inlineStr">
        <is>
          <t>3000（公司交300）</t>
        </is>
      </c>
      <c r="P69" s="136" t="inlineStr">
        <is>
          <t>邦芒50/月</t>
        </is>
      </c>
      <c r="Q69" s="136" t="inlineStr">
        <is>
          <t>无</t>
        </is>
      </c>
      <c r="R69" s="136" t="inlineStr">
        <is>
          <t>无</t>
        </is>
      </c>
      <c r="S69" s="136" t="inlineStr">
        <is>
          <t>有</t>
        </is>
      </c>
      <c r="T69" s="136" t="n">
        <v>3</v>
      </c>
      <c r="U69" s="136" t="n">
        <v>3</v>
      </c>
      <c r="V69" s="136" t="inlineStr">
        <is>
          <t>计算机应用技术</t>
        </is>
      </c>
      <c r="W69" s="140" t="n">
        <v>40725</v>
      </c>
      <c r="X69" s="136" t="inlineStr">
        <is>
          <t>专科</t>
        </is>
      </c>
      <c r="Y69" s="159" t="inlineStr">
        <is>
          <t>jianfu_wang0608@163.com</t>
        </is>
      </c>
      <c r="Z69" s="136" t="inlineStr">
        <is>
          <t>湖北省通山县洪港镇东坪村九组03号</t>
        </is>
      </c>
      <c r="AA69" s="136" t="inlineStr">
        <is>
          <t>湖北省通山县洪港镇东坪村九组03号</t>
        </is>
      </c>
      <c r="AB69" s="136" t="n">
        <v>18186697842</v>
      </c>
      <c r="AC69" s="521" t="inlineStr">
        <is>
          <t>422326199206085830</t>
        </is>
      </c>
      <c r="AD69" s="136" t="inlineStr">
        <is>
          <t>王健富建行：6217002870095949200</t>
        </is>
      </c>
      <c r="AF69" s="160" t="n"/>
    </row>
    <row r="70" customFormat="1" s="136">
      <c r="A70" s="136" t="inlineStr">
        <is>
          <t>第20个脱敏</t>
        </is>
      </c>
      <c r="B70" s="136" t="inlineStr">
        <is>
          <t>王大鹏（文石缴纳-2022-4-29离职）</t>
        </is>
      </c>
      <c r="C70" s="135" t="n">
        <v>1890264719</v>
      </c>
      <c r="D70" s="136" t="inlineStr">
        <is>
          <t>数据分析开发工程师</t>
        </is>
      </c>
      <c r="E70" s="140" t="n">
        <v>44566</v>
      </c>
      <c r="F70" s="140" t="n">
        <v>44655</v>
      </c>
      <c r="G70" s="136" t="inlineStr">
        <is>
          <t>2021年12月个人承担缴纳社保公积金 2022年1月正式缴纳五险一金</t>
        </is>
      </c>
      <c r="H70" s="136" t="inlineStr">
        <is>
          <t>南京</t>
        </is>
      </c>
      <c r="I70" s="136" t="inlineStr">
        <is>
          <t>南京</t>
        </is>
      </c>
      <c r="J70" s="136" t="n">
        <v>15200</v>
      </c>
      <c r="K70" s="136" t="n">
        <v>19000</v>
      </c>
      <c r="L70" s="136" t="n">
        <v>4250</v>
      </c>
      <c r="M70" s="136" t="n">
        <v>3000</v>
      </c>
      <c r="P70" s="136" t="inlineStr">
        <is>
          <t>文石50/月</t>
        </is>
      </c>
      <c r="Q70" s="136" t="inlineStr">
        <is>
          <t>有</t>
        </is>
      </c>
      <c r="R70" s="136" t="inlineStr">
        <is>
          <t>有</t>
        </is>
      </c>
      <c r="S70" s="136" t="inlineStr">
        <is>
          <t>有</t>
        </is>
      </c>
      <c r="T70" s="136" t="n">
        <v>3</v>
      </c>
      <c r="U70" s="136" t="n">
        <v>3</v>
      </c>
      <c r="V70" s="136" t="inlineStr">
        <is>
          <t>计算机科学与技术</t>
        </is>
      </c>
      <c r="W70" s="140" t="n">
        <v>42887</v>
      </c>
      <c r="X70" s="136" t="inlineStr">
        <is>
          <t>本科</t>
        </is>
      </c>
      <c r="Y70" s="159" t="inlineStr">
        <is>
          <t>285901130@qq.com</t>
        </is>
      </c>
      <c r="Z70" s="136" t="inlineStr">
        <is>
          <t xml:space="preserve">辽宁省本溪市明山区西芳街1-1号3-18   </t>
        </is>
      </c>
      <c r="AA70" s="136" t="inlineStr">
        <is>
          <t xml:space="preserve">辽宁省本溪市明山区西芳街1-1号3-18 </t>
        </is>
      </c>
      <c r="AB70" s="136" t="n">
        <v>18844548933</v>
      </c>
      <c r="AC70" s="521" t="inlineStr">
        <is>
          <t>210505199408221018</t>
        </is>
      </c>
      <c r="AD70" s="136" t="inlineStr">
        <is>
          <t>王大鹏建行6217001370053510962</t>
        </is>
      </c>
      <c r="AE70" s="136" t="inlineStr">
        <is>
          <t>合同上写12月24日为了缴纳12月社保 仅社保 他个人承担</t>
        </is>
      </c>
      <c r="AF70" s="160" t="n"/>
      <c r="AG70" s="136" t="inlineStr">
        <is>
          <t>公积金</t>
        </is>
      </c>
    </row>
    <row r="71" customFormat="1" s="136">
      <c r="A71" s="136" t="inlineStr">
        <is>
          <t>第21个脱敏</t>
        </is>
      </c>
      <c r="B71" s="136" t="inlineStr">
        <is>
          <t>张卫（2022-5-6离职）</t>
        </is>
      </c>
      <c r="C71" s="136" t="inlineStr">
        <is>
          <t>5月6日已经离职</t>
        </is>
      </c>
      <c r="D71" s="136" t="inlineStr">
        <is>
          <t>架构师</t>
        </is>
      </c>
      <c r="E71" s="140" t="n">
        <v>44599</v>
      </c>
      <c r="F71" s="156" t="n">
        <v>44687</v>
      </c>
      <c r="G71" s="136" t="inlineStr">
        <is>
          <t>2022/2月</t>
        </is>
      </c>
      <c r="H71" s="136" t="inlineStr">
        <is>
          <t>南京</t>
        </is>
      </c>
      <c r="I71" s="136" t="inlineStr">
        <is>
          <t>南京</t>
        </is>
      </c>
      <c r="J71" s="136" t="n">
        <v>20000</v>
      </c>
      <c r="K71" s="136" t="n">
        <v>25000</v>
      </c>
      <c r="L71" s="136" t="n">
        <v>5000</v>
      </c>
      <c r="M71" s="136" t="inlineStr">
        <is>
          <t>16800（公司1680）</t>
        </is>
      </c>
      <c r="P71" s="136" t="inlineStr">
        <is>
          <t>文石50/月-因为基数悬殊大</t>
        </is>
      </c>
      <c r="Q71" s="136" t="inlineStr">
        <is>
          <t>有</t>
        </is>
      </c>
      <c r="R71" s="136" t="inlineStr">
        <is>
          <t>有</t>
        </is>
      </c>
      <c r="S71" s="136" t="inlineStr">
        <is>
          <t>有</t>
        </is>
      </c>
      <c r="T71" s="136" t="n">
        <v>3</v>
      </c>
      <c r="U71" s="136" t="n">
        <v>3</v>
      </c>
      <c r="V71" s="136" t="inlineStr">
        <is>
          <t>电子信息科学与技术</t>
        </is>
      </c>
      <c r="W71" s="140" t="n">
        <v>41821</v>
      </c>
      <c r="X71" s="136" t="inlineStr">
        <is>
          <t>本科</t>
        </is>
      </c>
      <c r="Y71" s="159" t="inlineStr">
        <is>
          <t>1228378464@qq.com</t>
        </is>
      </c>
      <c r="Z71" s="136" t="inlineStr">
        <is>
          <t>南京市雨花台区铁心桥</t>
        </is>
      </c>
      <c r="AA71" s="136" t="inlineStr">
        <is>
          <t>江苏省泗洪县车门乡王沟村三组29号</t>
        </is>
      </c>
      <c r="AB71" s="136" t="n">
        <v>13505157371</v>
      </c>
      <c r="AC71" s="521" t="inlineStr">
        <is>
          <t>321324199110071437</t>
        </is>
      </c>
      <c r="AD71" s="136" t="inlineStr">
        <is>
          <t>张卫建行：6217001370017827486</t>
        </is>
      </c>
      <c r="AE71" s="136" t="inlineStr">
        <is>
          <t>公积金3201000349484780</t>
        </is>
      </c>
      <c r="AF71" s="158" t="inlineStr">
        <is>
          <t>医保保1884496875</t>
        </is>
      </c>
    </row>
    <row r="72" customFormat="1" s="136">
      <c r="A72" s="136" t="inlineStr">
        <is>
          <t>第22个脱敏</t>
        </is>
      </c>
      <c r="B72" s="136" t="inlineStr">
        <is>
          <t>周章建（2022-4-29离职）</t>
        </is>
      </c>
      <c r="D72" s="136" t="inlineStr">
        <is>
          <t>实车测试工程师</t>
        </is>
      </c>
      <c r="E72" s="140" t="n">
        <v>44571</v>
      </c>
      <c r="F72" s="156" t="n">
        <v>44660</v>
      </c>
      <c r="G72" s="136" t="inlineStr">
        <is>
          <t>2022/2月</t>
        </is>
      </c>
      <c r="H72" s="136" t="inlineStr">
        <is>
          <t>南京</t>
        </is>
      </c>
      <c r="I72" s="136" t="inlineStr">
        <is>
          <t>南京</t>
        </is>
      </c>
      <c r="J72" s="136" t="n">
        <v>16200</v>
      </c>
      <c r="K72" s="136" t="n">
        <v>18000</v>
      </c>
      <c r="L72" s="136" t="n">
        <v>4250</v>
      </c>
      <c r="M72" s="136" t="n">
        <v>3000</v>
      </c>
      <c r="P72" s="136" t="inlineStr">
        <is>
          <t>文石50/月-尝试自己缴纳</t>
        </is>
      </c>
      <c r="Q72" s="136" t="inlineStr">
        <is>
          <t>有</t>
        </is>
      </c>
      <c r="R72" s="136" t="inlineStr">
        <is>
          <t>有</t>
        </is>
      </c>
      <c r="S72" s="136" t="inlineStr">
        <is>
          <t>有</t>
        </is>
      </c>
      <c r="T72" s="136" t="n">
        <v>3</v>
      </c>
      <c r="U72" s="136" t="n">
        <v>3</v>
      </c>
      <c r="V72" s="136" t="inlineStr">
        <is>
          <t>体育教育</t>
        </is>
      </c>
      <c r="W72" s="140" t="n">
        <v>42919</v>
      </c>
      <c r="X72" s="136" t="inlineStr">
        <is>
          <t>本科</t>
        </is>
      </c>
      <c r="Y72" s="159" t="inlineStr">
        <is>
          <t>1149081863@qq.com</t>
        </is>
      </c>
      <c r="Z72" s="136" t="inlineStr">
        <is>
          <t>南京市江宁区翠屏东南</t>
        </is>
      </c>
      <c r="AA72" s="136" t="inlineStr">
        <is>
          <t>安徽省池州市贵池区唐田镇凤凰村磨盘组30号</t>
        </is>
      </c>
      <c r="AB72" s="136" t="n">
        <v>17621715311</v>
      </c>
      <c r="AC72" s="136" t="inlineStr">
        <is>
          <t>；342901199312171818</t>
        </is>
      </c>
      <c r="AD72" s="136" t="inlineStr">
        <is>
          <t>周章建 建行6217001370053425294</t>
        </is>
      </c>
      <c r="AE72" s="136" t="inlineStr">
        <is>
          <t>小罗请假半天</t>
        </is>
      </c>
      <c r="AF72" s="158" t="inlineStr">
        <is>
          <t>1892096861医保卡</t>
        </is>
      </c>
      <c r="AH72" s="136" t="inlineStr">
        <is>
          <t>3201000551223856公积金</t>
        </is>
      </c>
    </row>
    <row r="73" customFormat="1" s="136">
      <c r="A73" s="136" t="inlineStr">
        <is>
          <t>第23个脱敏</t>
        </is>
      </c>
      <c r="B73" s="136" t="inlineStr">
        <is>
          <t>周喆（取消入职）</t>
        </is>
      </c>
      <c r="D73" s="136" t="inlineStr">
        <is>
          <t>modem</t>
        </is>
      </c>
      <c r="E73" s="140" t="n">
        <v>44602</v>
      </c>
      <c r="F73" s="140" t="n">
        <v>44690</v>
      </c>
      <c r="G73" s="155" t="n">
        <v>44593</v>
      </c>
      <c r="H73" s="136" t="inlineStr">
        <is>
          <t>南京</t>
        </is>
      </c>
      <c r="I73" s="136" t="inlineStr">
        <is>
          <t>南京</t>
        </is>
      </c>
      <c r="J73" s="136" t="n">
        <v>23000</v>
      </c>
      <c r="K73" s="136" t="n">
        <v>23000</v>
      </c>
      <c r="L73" s="136" t="n">
        <v>5000</v>
      </c>
      <c r="M73" s="136" t="n">
        <v>16800</v>
      </c>
      <c r="P73" s="136" t="inlineStr">
        <is>
          <t>文石50/月-因为基数悬殊大</t>
        </is>
      </c>
      <c r="Q73" s="136" t="inlineStr">
        <is>
          <t>有</t>
        </is>
      </c>
      <c r="R73" s="136" t="inlineStr">
        <is>
          <t>有</t>
        </is>
      </c>
      <c r="S73" s="136" t="inlineStr">
        <is>
          <t>有</t>
        </is>
      </c>
      <c r="T73" s="136" t="n">
        <v>3</v>
      </c>
      <c r="U73" s="136" t="n">
        <v>3</v>
      </c>
      <c r="V73" s="136" t="inlineStr">
        <is>
          <t>机械工程领域工程</t>
        </is>
      </c>
      <c r="W73" s="140" t="n">
        <v>43928</v>
      </c>
      <c r="X73" s="136" t="inlineStr">
        <is>
          <t>硕士</t>
        </is>
      </c>
      <c r="Y73" s="136" t="inlineStr">
        <is>
          <t>526110359@qq.com</t>
        </is>
      </c>
      <c r="Z73" s="136" t="inlineStr">
        <is>
          <t>/</t>
        </is>
      </c>
      <c r="AA73" s="136" t="inlineStr">
        <is>
          <t>/</t>
        </is>
      </c>
      <c r="AB73" s="136" t="n">
        <v>18013390084</v>
      </c>
      <c r="AC73" s="521" t="inlineStr">
        <is>
          <t>320402199409302216</t>
        </is>
      </c>
      <c r="AD73" s="136" t="inlineStr">
        <is>
          <t>/</t>
        </is>
      </c>
      <c r="AE73" s="136" t="inlineStr">
        <is>
          <t>/</t>
        </is>
      </c>
      <c r="AF73" s="160" t="n"/>
    </row>
    <row r="74" customFormat="1" s="136">
      <c r="A74" s="136" t="inlineStr">
        <is>
          <t>第24个脱敏</t>
        </is>
      </c>
      <c r="B74" s="136" t="inlineStr">
        <is>
          <t>李耀华</t>
        </is>
      </c>
      <c r="C74" s="136" t="inlineStr">
        <is>
          <t>公积金3201000224643968</t>
        </is>
      </c>
      <c r="D74" s="136" t="inlineStr">
        <is>
          <t>BSP</t>
        </is>
      </c>
      <c r="E74" s="136" t="inlineStr">
        <is>
          <t>2022.03.07</t>
        </is>
      </c>
      <c r="F74" s="136" t="inlineStr">
        <is>
          <t>2022.06.06</t>
        </is>
      </c>
      <c r="G74" s="140" t="inlineStr">
        <is>
          <t>2022/3月</t>
        </is>
      </c>
      <c r="H74" s="136" t="inlineStr">
        <is>
          <t>南京</t>
        </is>
      </c>
      <c r="I74" s="136" t="inlineStr">
        <is>
          <t>南京</t>
        </is>
      </c>
      <c r="J74" s="136" t="n">
        <v>30000</v>
      </c>
      <c r="K74" s="136" t="n">
        <v>30000</v>
      </c>
      <c r="L74" s="136" t="n">
        <v>5000</v>
      </c>
      <c r="M74" s="136" t="inlineStr">
        <is>
          <t>16800*10%</t>
        </is>
      </c>
      <c r="P74" s="136" t="inlineStr">
        <is>
          <t>文石50/月-因为基数悬殊大</t>
        </is>
      </c>
      <c r="Q74" s="136" t="inlineStr">
        <is>
          <t>有</t>
        </is>
      </c>
      <c r="R74" s="136" t="inlineStr">
        <is>
          <t>有</t>
        </is>
      </c>
      <c r="S74" s="136" t="inlineStr">
        <is>
          <t>有</t>
        </is>
      </c>
      <c r="T74" s="136" t="n">
        <v>3</v>
      </c>
      <c r="U74" s="136" t="n">
        <v>3</v>
      </c>
      <c r="V74" s="136" t="inlineStr">
        <is>
          <t>计算机科学与技术（软件工程）</t>
        </is>
      </c>
      <c r="W74" s="136" t="n">
        <v>2007</v>
      </c>
      <c r="X74" s="136" t="inlineStr">
        <is>
          <t>本科</t>
        </is>
      </c>
      <c r="Y74" s="159" t="inlineStr">
        <is>
          <t>ligongcheng@yeah.net</t>
        </is>
      </c>
      <c r="Z74" s="136" t="inlineStr">
        <is>
          <t>南京市浦口区柳州东路211号09幢二单元1705室</t>
        </is>
      </c>
      <c r="AA74" s="136" t="inlineStr">
        <is>
          <t>南京市浦口区柳州东路211号09幢二单元1705室</t>
        </is>
      </c>
      <c r="AB74" s="136" t="n">
        <v>15051816506</v>
      </c>
      <c r="AC74" s="521" t="inlineStr">
        <is>
          <t>210105198202144612</t>
        </is>
      </c>
      <c r="AD74" s="136" t="inlineStr">
        <is>
          <t>李耀华建行6217001370006506968</t>
        </is>
      </c>
      <c r="AE74" s="136" t="inlineStr">
        <is>
          <t>医保卡1001051623</t>
        </is>
      </c>
      <c r="AF74" s="160" t="n"/>
    </row>
    <row r="75" customFormat="1" s="136">
      <c r="A75" s="136" t="inlineStr">
        <is>
          <t>第25个脱敏</t>
        </is>
      </c>
      <c r="B75" s="136" t="inlineStr">
        <is>
          <t>顾学伟</t>
        </is>
      </c>
      <c r="C75" s="136" t="inlineStr">
        <is>
          <t>公积金3201000362300133</t>
        </is>
      </c>
      <c r="D75" s="136" t="inlineStr">
        <is>
          <t>Multimedia</t>
        </is>
      </c>
      <c r="E75" s="136" t="inlineStr">
        <is>
          <t>2022.03.9</t>
        </is>
      </c>
      <c r="F75" s="136" t="inlineStr">
        <is>
          <t>2022.06.8</t>
        </is>
      </c>
      <c r="G75" s="140" t="inlineStr">
        <is>
          <t>2022/3月</t>
        </is>
      </c>
      <c r="H75" s="136" t="inlineStr">
        <is>
          <t>南京</t>
        </is>
      </c>
      <c r="I75" s="136" t="inlineStr">
        <is>
          <t>南京</t>
        </is>
      </c>
      <c r="J75" s="136" t="n">
        <v>35000</v>
      </c>
      <c r="K75" s="136" t="n">
        <v>35000</v>
      </c>
      <c r="L75" s="136" t="n">
        <v>5000</v>
      </c>
      <c r="M75" s="136" t="inlineStr">
        <is>
          <t>16800*10%</t>
        </is>
      </c>
      <c r="P75" s="136" t="inlineStr">
        <is>
          <t>文石50/月-因为基数悬殊大</t>
        </is>
      </c>
      <c r="Q75" s="136" t="inlineStr">
        <is>
          <t>有</t>
        </is>
      </c>
      <c r="R75" s="136" t="inlineStr">
        <is>
          <t>有</t>
        </is>
      </c>
      <c r="S75" s="136" t="inlineStr">
        <is>
          <t>有</t>
        </is>
      </c>
      <c r="T75" s="136" t="n">
        <v>3</v>
      </c>
      <c r="U75" s="136" t="n">
        <v>3</v>
      </c>
      <c r="V75" s="136" t="inlineStr">
        <is>
          <t>自动化</t>
        </is>
      </c>
      <c r="W75" s="140" t="n">
        <v>40347</v>
      </c>
      <c r="X75" s="136" t="inlineStr">
        <is>
          <t>本科</t>
        </is>
      </c>
      <c r="Y75" s="159" t="inlineStr">
        <is>
          <t>xiuxiu2293@sina.com</t>
        </is>
      </c>
      <c r="Z75" s="136" t="inlineStr">
        <is>
          <t>江苏省盐城市盐都区学富镇学中六村79号</t>
        </is>
      </c>
      <c r="AA75" s="136" t="inlineStr">
        <is>
          <t>江苏省盐城市盐都区学富镇学中六村79号</t>
        </is>
      </c>
      <c r="AB75" s="136" t="n">
        <v>18705186931</v>
      </c>
      <c r="AC75" s="521" t="inlineStr">
        <is>
          <t>320911198803220955</t>
        </is>
      </c>
      <c r="AD75" s="136" t="inlineStr">
        <is>
          <t>顾学伟建行4367422004670179424</t>
        </is>
      </c>
      <c r="AE75" s="136" t="inlineStr">
        <is>
          <t>医保卡1882018303</t>
        </is>
      </c>
      <c r="AF75" s="160" t="n"/>
    </row>
    <row r="76" customFormat="1" s="136">
      <c r="A76" s="136" t="inlineStr">
        <is>
          <t>第26个脱敏</t>
        </is>
      </c>
      <c r="B76" s="136" t="inlineStr">
        <is>
          <t>刘文广（2022.5.24离职）</t>
        </is>
      </c>
      <c r="D76" s="136" t="inlineStr">
        <is>
          <t>相机工程师</t>
        </is>
      </c>
      <c r="E76" s="140" t="inlineStr">
        <is>
          <t>2022年1月27</t>
        </is>
      </c>
      <c r="F76" s="140" t="n">
        <v>44677</v>
      </c>
      <c r="G76" s="136" t="inlineStr">
        <is>
          <t>2022/2月</t>
        </is>
      </c>
      <c r="H76" s="136" t="inlineStr">
        <is>
          <t>深圳</t>
        </is>
      </c>
      <c r="I76" s="136" t="inlineStr">
        <is>
          <t>深圳</t>
        </is>
      </c>
      <c r="J76" s="136" t="n">
        <v>14000</v>
      </c>
      <c r="K76" s="136" t="n">
        <v>14000</v>
      </c>
      <c r="L76" s="136" t="inlineStr">
        <is>
          <t>2200*5%</t>
        </is>
      </c>
      <c r="M76" s="136" t="inlineStr">
        <is>
          <t>2200*5%</t>
        </is>
      </c>
      <c r="P76" s="136" t="inlineStr">
        <is>
          <t>邦芒50/月</t>
        </is>
      </c>
      <c r="Q76" s="136" t="inlineStr">
        <is>
          <t>无</t>
        </is>
      </c>
      <c r="R76" s="136" t="inlineStr">
        <is>
          <t>无</t>
        </is>
      </c>
      <c r="S76" s="136" t="inlineStr">
        <is>
          <t>有</t>
        </is>
      </c>
      <c r="T76" s="136" t="n">
        <v>3</v>
      </c>
      <c r="U76" s="136" t="n">
        <v>3</v>
      </c>
      <c r="V76" s="136" t="inlineStr">
        <is>
          <t>机械设计与制造</t>
        </is>
      </c>
      <c r="W76" s="140" t="n">
        <v>41821</v>
      </c>
      <c r="X76" s="136" t="inlineStr">
        <is>
          <t>专科</t>
        </is>
      </c>
      <c r="Y76" s="136" t="inlineStr">
        <is>
          <t>1419562851@qq.com</t>
        </is>
      </c>
      <c r="Z76" s="136" t="inlineStr">
        <is>
          <t>江苏省吉安市峡江县桐林乡长田村长田自然村50号增1号</t>
        </is>
      </c>
      <c r="AA76" s="136" t="inlineStr">
        <is>
          <t>江苏省吉安市峡江县桐林乡长田村长田自然村50号增1号</t>
        </is>
      </c>
      <c r="AB76" s="136" t="n">
        <v>18682476001</v>
      </c>
      <c r="AC76" s="521" t="inlineStr">
        <is>
          <t>362423199112082516</t>
        </is>
      </c>
      <c r="AD76" s="136" t="inlineStr">
        <is>
          <t>刘文广建行6230943230001093665</t>
        </is>
      </c>
      <c r="AF76" s="160" t="n"/>
    </row>
    <row r="77" customFormat="1" s="136">
      <c r="A77" s="136" t="inlineStr">
        <is>
          <t>第27个脱敏</t>
        </is>
      </c>
      <c r="B77" s="136" t="inlineStr">
        <is>
          <t>王迪（2022-4-24离职）</t>
        </is>
      </c>
      <c r="C77" s="136" t="inlineStr">
        <is>
          <t>王迪医保1888736371</t>
        </is>
      </c>
      <c r="D77" s="136" t="inlineStr">
        <is>
          <t>安卓开发工程师</t>
        </is>
      </c>
      <c r="E77" s="136" t="inlineStr">
        <is>
          <t>2022年2月28</t>
        </is>
      </c>
      <c r="F77" s="156" t="n">
        <v>44708</v>
      </c>
      <c r="G77" s="155" t="n">
        <v>44621</v>
      </c>
      <c r="H77" s="136" t="inlineStr">
        <is>
          <t>南京</t>
        </is>
      </c>
      <c r="I77" s="136" t="inlineStr">
        <is>
          <t>南京</t>
        </is>
      </c>
      <c r="J77" s="136" t="n">
        <v>10400</v>
      </c>
      <c r="K77" s="136" t="n">
        <v>13000</v>
      </c>
      <c r="L77" s="136" t="n">
        <v>4250</v>
      </c>
      <c r="M77" s="136" t="inlineStr">
        <is>
          <t>3000公司交300</t>
        </is>
      </c>
      <c r="P77" s="136" t="inlineStr">
        <is>
          <t>文石50/月</t>
        </is>
      </c>
      <c r="Q77" s="136" t="inlineStr">
        <is>
          <t>有</t>
        </is>
      </c>
      <c r="R77" s="136" t="inlineStr">
        <is>
          <t>有</t>
        </is>
      </c>
      <c r="S77" s="136" t="inlineStr">
        <is>
          <t>有</t>
        </is>
      </c>
      <c r="T77" s="136" t="n">
        <v>3</v>
      </c>
      <c r="U77" s="136" t="n">
        <v>3</v>
      </c>
      <c r="V77" s="136" t="inlineStr">
        <is>
          <t>网络工程</t>
        </is>
      </c>
      <c r="W77" s="140" t="n">
        <v>43647</v>
      </c>
      <c r="X77" s="136" t="inlineStr">
        <is>
          <t>本科</t>
        </is>
      </c>
      <c r="Y77" s="136" t="inlineStr">
        <is>
          <t>2443205956@qq.com</t>
        </is>
      </c>
      <c r="Z77" s="136" t="inlineStr">
        <is>
          <t>雨花台新河苑</t>
        </is>
      </c>
      <c r="AA77" s="136" t="inlineStr">
        <is>
          <t>安徽省蚌埠市怀远县常坟镇水巷村前王庄69号</t>
        </is>
      </c>
      <c r="AB77" s="136" t="n">
        <v>13516426021</v>
      </c>
      <c r="AC77" s="521" t="inlineStr">
        <is>
          <t>340321199703190558</t>
        </is>
      </c>
      <c r="AD77" s="136" t="inlineStr">
        <is>
          <t>王迪建行6217001770001964890</t>
        </is>
      </c>
      <c r="AF77" s="160" t="n"/>
    </row>
    <row r="78" customFormat="1" s="136">
      <c r="A78" s="136" t="inlineStr">
        <is>
          <t>第28个脱敏</t>
        </is>
      </c>
      <c r="B78" s="136" t="inlineStr">
        <is>
          <t>余猛</t>
        </is>
      </c>
      <c r="C78" s="136" t="inlineStr">
        <is>
          <t>公积金3201000531274450</t>
        </is>
      </c>
      <c r="D78" s="136" t="inlineStr">
        <is>
          <t>Camera-HAL</t>
        </is>
      </c>
      <c r="E78" s="136" t="inlineStr">
        <is>
          <t>2022.2.23</t>
        </is>
      </c>
      <c r="F78" s="156" t="n">
        <v>44703</v>
      </c>
      <c r="G78" s="155" t="n">
        <v>44622</v>
      </c>
      <c r="H78" s="136" t="inlineStr">
        <is>
          <t>南京</t>
        </is>
      </c>
      <c r="I78" s="136" t="inlineStr">
        <is>
          <t>南京</t>
        </is>
      </c>
      <c r="J78" s="136" t="n">
        <v>9200</v>
      </c>
      <c r="K78" s="136" t="n">
        <v>11500</v>
      </c>
      <c r="L78" s="136" t="n">
        <v>4250</v>
      </c>
      <c r="M78" s="136" t="inlineStr">
        <is>
          <t>9200*10%（公司920）</t>
        </is>
      </c>
      <c r="P78" s="136" t="inlineStr">
        <is>
          <t>文石50/月</t>
        </is>
      </c>
      <c r="Q78" s="136" t="inlineStr">
        <is>
          <t>有</t>
        </is>
      </c>
      <c r="R78" s="136" t="inlineStr">
        <is>
          <t>有</t>
        </is>
      </c>
      <c r="S78" s="136" t="inlineStr">
        <is>
          <t>有</t>
        </is>
      </c>
      <c r="T78" s="136" t="n">
        <v>3</v>
      </c>
      <c r="U78" s="136" t="n">
        <v>3</v>
      </c>
      <c r="V78" s="136" t="inlineStr">
        <is>
          <t>自动化专业</t>
        </is>
      </c>
      <c r="W78" s="136" t="n">
        <v>2020.6</v>
      </c>
      <c r="X78" s="136" t="inlineStr">
        <is>
          <t>本科</t>
        </is>
      </c>
      <c r="Y78" s="159" t="inlineStr">
        <is>
          <t>1447841876@qq.com</t>
        </is>
      </c>
      <c r="Z78" s="136" t="inlineStr">
        <is>
          <t>雨花区福润雅居</t>
        </is>
      </c>
      <c r="AA78" s="136" t="inlineStr">
        <is>
          <t>江苏省宿州市泗县刘圩镇四山村前余庄031号</t>
        </is>
      </c>
      <c r="AB78" s="136" t="n">
        <v>15391795121</v>
      </c>
      <c r="AC78" s="136" t="inlineStr">
        <is>
          <t>34222519960506201x</t>
        </is>
      </c>
      <c r="AD78" s="136" t="inlineStr">
        <is>
          <t>余猛建行6217001370053888236</t>
        </is>
      </c>
      <c r="AE78" s="136" t="inlineStr">
        <is>
          <t>医保卡1891474860</t>
        </is>
      </c>
      <c r="AF78" s="160" t="n"/>
    </row>
    <row r="79" customFormat="1" s="136">
      <c r="A79" s="136" t="inlineStr">
        <is>
          <t>第29个脱敏</t>
        </is>
      </c>
      <c r="B79" s="136" t="inlineStr">
        <is>
          <t>蔡国剑（从未入职）</t>
        </is>
      </c>
      <c r="D79" s="136" t="inlineStr">
        <is>
          <t>自动化测试工程师</t>
        </is>
      </c>
      <c r="E79" s="140" t="n">
        <v>44606</v>
      </c>
      <c r="F79" s="156" t="n">
        <v>44694</v>
      </c>
      <c r="G79" s="155" t="n">
        <v>44593</v>
      </c>
      <c r="H79" s="136" t="inlineStr">
        <is>
          <t>南京</t>
        </is>
      </c>
      <c r="I79" s="136" t="inlineStr">
        <is>
          <t>南京</t>
        </is>
      </c>
      <c r="J79" s="136" t="n">
        <v>11200</v>
      </c>
      <c r="K79" s="136" t="n">
        <v>14000</v>
      </c>
      <c r="L79" s="136" t="n">
        <v>4250</v>
      </c>
      <c r="M79" s="136" t="inlineStr">
        <is>
          <t>3000（公司交300）</t>
        </is>
      </c>
      <c r="P79" s="136" t="inlineStr">
        <is>
          <t>文石50/月</t>
        </is>
      </c>
      <c r="Q79" s="136" t="inlineStr">
        <is>
          <t>有</t>
        </is>
      </c>
      <c r="R79" s="136" t="inlineStr">
        <is>
          <t>有</t>
        </is>
      </c>
      <c r="S79" s="136" t="inlineStr">
        <is>
          <t>有</t>
        </is>
      </c>
      <c r="T79" s="136" t="n">
        <v>3</v>
      </c>
      <c r="U79" s="136" t="n">
        <v>3</v>
      </c>
      <c r="V79" s="136" t="inlineStr">
        <is>
          <t>电气工程及其自动化</t>
        </is>
      </c>
      <c r="W79" s="140" t="n">
        <v>42906</v>
      </c>
      <c r="X79" s="136" t="inlineStr">
        <is>
          <t>本科（学信网）</t>
        </is>
      </c>
      <c r="Y79" s="136" t="inlineStr">
        <is>
          <t>1078672835@qq.com</t>
        </is>
      </c>
      <c r="Z79" s="136" t="inlineStr">
        <is>
          <t>/</t>
        </is>
      </c>
      <c r="AA79" s="136" t="inlineStr">
        <is>
          <t>/</t>
        </is>
      </c>
      <c r="AB79" s="136" t="n">
        <v>18761869491</v>
      </c>
      <c r="AC79" s="521" t="inlineStr">
        <is>
          <t>320107199501162610</t>
        </is>
      </c>
      <c r="AD79" s="136" t="inlineStr">
        <is>
          <t>/</t>
        </is>
      </c>
      <c r="AF79" s="160" t="n"/>
    </row>
    <row r="80" customFormat="1" s="136">
      <c r="A80" s="136" t="inlineStr">
        <is>
          <t>第30个脱敏</t>
        </is>
      </c>
      <c r="B80" s="136" t="inlineStr">
        <is>
          <t>夏易凡</t>
        </is>
      </c>
      <c r="C80" s="136" t="inlineStr">
        <is>
          <t>公积金3201000399258119</t>
        </is>
      </c>
      <c r="D80" s="136" t="inlineStr">
        <is>
          <t>web前端开发工程师</t>
        </is>
      </c>
      <c r="E80" s="140" t="n">
        <v>44631</v>
      </c>
      <c r="F80" s="156" t="n">
        <v>44721</v>
      </c>
      <c r="G80" s="155" t="inlineStr">
        <is>
          <t>2022/3月</t>
        </is>
      </c>
      <c r="H80" s="136" t="inlineStr">
        <is>
          <t>南京</t>
        </is>
      </c>
      <c r="I80" s="136" t="inlineStr">
        <is>
          <t>南京</t>
        </is>
      </c>
      <c r="J80" s="136" t="n">
        <v>18400</v>
      </c>
      <c r="K80" s="136" t="n">
        <v>23000</v>
      </c>
      <c r="L80" s="136" t="n">
        <v>4250</v>
      </c>
      <c r="M80" s="136" t="inlineStr">
        <is>
          <t>3000（公司交300）</t>
        </is>
      </c>
      <c r="P80" s="136" t="inlineStr">
        <is>
          <t>文石50/月</t>
        </is>
      </c>
      <c r="Q80" s="136" t="inlineStr">
        <is>
          <t>有</t>
        </is>
      </c>
      <c r="R80" s="136" t="inlineStr">
        <is>
          <t>有</t>
        </is>
      </c>
      <c r="S80" s="136" t="inlineStr">
        <is>
          <t>有</t>
        </is>
      </c>
      <c r="T80" s="136" t="n">
        <v>3</v>
      </c>
      <c r="U80" s="136" t="n">
        <v>3</v>
      </c>
      <c r="V80" s="136" t="inlineStr">
        <is>
          <t>计算机科学与技术</t>
        </is>
      </c>
      <c r="W80" s="140" t="n">
        <v>42551</v>
      </c>
      <c r="X80" s="136" t="inlineStr">
        <is>
          <t>本科（学信网）</t>
        </is>
      </c>
      <c r="Y80" s="159" t="inlineStr">
        <is>
          <t>406318144@qq.com</t>
        </is>
      </c>
      <c r="Z80" s="136" t="inlineStr">
        <is>
          <t>江苏省姜堰市蒋垛镇六港村八组14号</t>
        </is>
      </c>
      <c r="AA80" s="136" t="inlineStr">
        <is>
          <t>江苏省姜堰市蒋垛镇六港村八组14号</t>
        </is>
      </c>
      <c r="AB80" s="136" t="n">
        <v>17361872832</v>
      </c>
      <c r="AC80" s="521" t="inlineStr">
        <is>
          <t>321284199305161812</t>
        </is>
      </c>
      <c r="AD80" s="136" t="inlineStr">
        <is>
          <t>夏易凡建行：6217001370030685697</t>
        </is>
      </c>
      <c r="AE80" s="163" t="inlineStr">
        <is>
          <t>1882672271医保卡</t>
        </is>
      </c>
      <c r="AF80" s="160" t="n"/>
    </row>
    <row r="81" customFormat="1" s="136">
      <c r="A81" s="136" t="inlineStr">
        <is>
          <t>第31个脱敏</t>
        </is>
      </c>
      <c r="B81" s="136" t="inlineStr">
        <is>
          <t>潘杰（2022-7-25离职）</t>
        </is>
      </c>
      <c r="D81" s="136" t="inlineStr">
        <is>
          <t>SCM工程师</t>
        </is>
      </c>
      <c r="E81" s="140" t="n">
        <v>44641</v>
      </c>
      <c r="F81" s="140" t="n">
        <v>44732</v>
      </c>
      <c r="G81" s="155" t="inlineStr">
        <is>
          <t>2022/4月</t>
        </is>
      </c>
      <c r="H81" s="136" t="inlineStr">
        <is>
          <t>南京</t>
        </is>
      </c>
      <c r="I81" s="136" t="inlineStr">
        <is>
          <t>南京</t>
        </is>
      </c>
      <c r="J81" s="136" t="n">
        <v>10400</v>
      </c>
      <c r="K81" s="136" t="n">
        <v>13000</v>
      </c>
      <c r="L81" s="136" t="n">
        <v>4250</v>
      </c>
      <c r="M81" s="136" t="inlineStr">
        <is>
          <t>公司缴纳1040</t>
        </is>
      </c>
      <c r="P81" s="136" t="inlineStr">
        <is>
          <t>文石50/月</t>
        </is>
      </c>
      <c r="Q81" s="136" t="inlineStr">
        <is>
          <t>有</t>
        </is>
      </c>
      <c r="R81" s="136" t="inlineStr">
        <is>
          <t>有</t>
        </is>
      </c>
      <c r="S81" s="136" t="inlineStr">
        <is>
          <t>有</t>
        </is>
      </c>
      <c r="T81" s="136" t="n">
        <v>3</v>
      </c>
      <c r="U81" s="136" t="n">
        <v>3</v>
      </c>
      <c r="V81" s="136" t="inlineStr">
        <is>
          <t>音乐</t>
        </is>
      </c>
      <c r="W81" s="140" t="n">
        <v>43281</v>
      </c>
      <c r="X81" s="136" t="inlineStr">
        <is>
          <t>本科（学信网）</t>
        </is>
      </c>
      <c r="Y81" s="159" t="inlineStr">
        <is>
          <t>1060726626@qq.com</t>
        </is>
      </c>
      <c r="Z81" s="136" t="inlineStr">
        <is>
          <t>江苏省宝应县望直港镇大树村吕湾组1号</t>
        </is>
      </c>
      <c r="AA81" s="136" t="inlineStr">
        <is>
          <t>江苏省宝应县望直港镇大树村吕湾组1号</t>
        </is>
      </c>
      <c r="AB81" s="136" t="n">
        <v>17558780112</v>
      </c>
      <c r="AC81" s="521" t="inlineStr">
        <is>
          <t>321023199501122833</t>
        </is>
      </c>
      <c r="AD81" s="136" t="inlineStr">
        <is>
          <t>潘杰建行6215340302612489127</t>
        </is>
      </c>
      <c r="AE81" s="136" t="inlineStr">
        <is>
          <t>医保卡1890206001</t>
        </is>
      </c>
      <c r="AF81" s="160" t="inlineStr">
        <is>
          <t>公积金3201000522578720</t>
        </is>
      </c>
    </row>
    <row r="82" customFormat="1" s="136">
      <c r="A82" s="136" t="inlineStr">
        <is>
          <t>第32个脱敏</t>
        </is>
      </c>
      <c r="B82" s="136" t="inlineStr">
        <is>
          <t>徐捷（2022.6.7离职）</t>
        </is>
      </c>
      <c r="C82" s="136" t="inlineStr">
        <is>
          <t>公积金3201000466819222</t>
        </is>
      </c>
      <c r="D82" s="136" t="inlineStr">
        <is>
          <t>Camera HAL工程师</t>
        </is>
      </c>
      <c r="E82" s="140" t="n">
        <v>44628</v>
      </c>
      <c r="F82" s="140" t="n">
        <v>44719</v>
      </c>
      <c r="G82" s="136" t="inlineStr">
        <is>
          <t>2022/3月</t>
        </is>
      </c>
      <c r="H82" s="136" t="inlineStr">
        <is>
          <t>南京</t>
        </is>
      </c>
      <c r="I82" s="136" t="inlineStr">
        <is>
          <t>南京</t>
        </is>
      </c>
      <c r="J82" s="136" t="n">
        <v>18000</v>
      </c>
      <c r="K82" s="136" t="n">
        <v>18000</v>
      </c>
      <c r="L82" s="136" t="n">
        <v>5000</v>
      </c>
      <c r="M82" s="136" t="inlineStr">
        <is>
          <t>16800 10%</t>
        </is>
      </c>
      <c r="P82" s="136" t="inlineStr">
        <is>
          <t>文石50/月</t>
        </is>
      </c>
      <c r="Q82" s="136" t="inlineStr">
        <is>
          <t>有</t>
        </is>
      </c>
      <c r="R82" s="136" t="inlineStr">
        <is>
          <t>有</t>
        </is>
      </c>
      <c r="S82" s="136" t="inlineStr">
        <is>
          <t>有</t>
        </is>
      </c>
      <c r="T82" s="136" t="n">
        <v>3</v>
      </c>
      <c r="U82" s="136" t="n">
        <v>3</v>
      </c>
      <c r="V82" s="136" t="inlineStr">
        <is>
          <t>光电信息科学与工程</t>
        </is>
      </c>
      <c r="W82" s="140" t="n">
        <v>43289</v>
      </c>
      <c r="X82" s="136" t="inlineStr">
        <is>
          <t>本科（学信网）</t>
        </is>
      </c>
      <c r="Y82" s="136" t="inlineStr">
        <is>
          <t xml:space="preserve"> Xujie1094@163.com</t>
        </is>
      </c>
      <c r="Z82" s="136" t="inlineStr">
        <is>
          <t>江苏省盐城市亭湖区太平路222号2幢609室</t>
        </is>
      </c>
      <c r="AA82" s="136" t="inlineStr">
        <is>
          <t>江苏省盐城市亭湖区太平路222号2幢609室</t>
        </is>
      </c>
      <c r="AB82" s="136" t="n">
        <v>15161876746</v>
      </c>
      <c r="AC82" s="521" t="inlineStr">
        <is>
          <t>320902199412301094</t>
        </is>
      </c>
      <c r="AD82" s="136" t="inlineStr">
        <is>
          <t>徐捷建行6217001320007468502</t>
        </is>
      </c>
      <c r="AE82" s="136" t="inlineStr">
        <is>
          <t>医保卡1888969159</t>
        </is>
      </c>
      <c r="AF82" s="160" t="n"/>
    </row>
    <row r="83" customFormat="1" s="136">
      <c r="A83" s="136" t="inlineStr">
        <is>
          <t>第33个脱敏</t>
        </is>
      </c>
      <c r="B83" s="136" t="inlineStr">
        <is>
          <t>张莞东（2月28日离职）</t>
        </is>
      </c>
      <c r="D83" s="136" t="inlineStr">
        <is>
          <t>测试开发师</t>
        </is>
      </c>
      <c r="E83" s="140" t="n">
        <v>44617</v>
      </c>
      <c r="F83" s="140" t="n">
        <v>44705</v>
      </c>
      <c r="G83" s="136" t="inlineStr">
        <is>
          <t>2022/3月</t>
        </is>
      </c>
      <c r="H83" s="136" t="inlineStr">
        <is>
          <t>南京</t>
        </is>
      </c>
      <c r="I83" s="136" t="inlineStr">
        <is>
          <t>南京</t>
        </is>
      </c>
      <c r="J83" s="136" t="n">
        <v>8000</v>
      </c>
      <c r="K83" s="136" t="n">
        <v>10000</v>
      </c>
      <c r="L83" s="136" t="n">
        <v>4250</v>
      </c>
      <c r="M83" s="136" t="inlineStr">
        <is>
          <t>3000基数，10%比例，个人300，公司300</t>
        </is>
      </c>
      <c r="P83" s="136" t="inlineStr">
        <is>
          <t>文石50/月</t>
        </is>
      </c>
      <c r="Q83" s="136" t="inlineStr">
        <is>
          <t>有</t>
        </is>
      </c>
      <c r="R83" s="136" t="inlineStr">
        <is>
          <t>有</t>
        </is>
      </c>
      <c r="S83" s="136" t="inlineStr">
        <is>
          <t>有</t>
        </is>
      </c>
      <c r="T83" s="136" t="n">
        <v>3</v>
      </c>
      <c r="U83" s="136" t="n">
        <v>3</v>
      </c>
      <c r="V83" s="136" t="inlineStr">
        <is>
          <t>软件工程</t>
        </is>
      </c>
      <c r="W83" s="140" t="n">
        <v>43996</v>
      </c>
      <c r="X83" s="136" t="inlineStr">
        <is>
          <t>本科（学信网）</t>
        </is>
      </c>
      <c r="Y83" s="136" t="inlineStr">
        <is>
          <t>sayeozhang@163.com</t>
        </is>
      </c>
      <c r="Z83" s="136" t="inlineStr">
        <is>
          <t>安徽省肥东县梁园镇新向阳村花后组</t>
        </is>
      </c>
      <c r="AA83" s="136" t="inlineStr">
        <is>
          <t>安徽省肥东县梁园镇新向阳村花后组</t>
        </is>
      </c>
      <c r="AB83" s="136" t="n">
        <v>15705698097</v>
      </c>
      <c r="AC83" s="521" t="inlineStr">
        <is>
          <t>340123199709204676</t>
        </is>
      </c>
      <c r="AD83" s="136" t="inlineStr">
        <is>
          <t>张莞东建行6217001650008553898离职</t>
        </is>
      </c>
      <c r="AF83" s="160" t="inlineStr">
        <is>
          <t>2022-2-28离职</t>
        </is>
      </c>
    </row>
    <row r="84" customFormat="1" s="136">
      <c r="A84" s="136" t="inlineStr">
        <is>
          <t>第34个脱敏</t>
        </is>
      </c>
      <c r="B84" s="136" t="inlineStr">
        <is>
          <t>姚凯强（取消入职）</t>
        </is>
      </c>
      <c r="C84" s="136" t="inlineStr">
        <is>
          <t>/</t>
        </is>
      </c>
      <c r="D84" s="136" t="inlineStr">
        <is>
          <t>modem</t>
        </is>
      </c>
      <c r="E84" s="140" t="n">
        <v>44690</v>
      </c>
      <c r="F84" s="140" t="n">
        <v>44781</v>
      </c>
      <c r="G84" s="136" t="inlineStr">
        <is>
          <t>2022/5月</t>
        </is>
      </c>
      <c r="H84" s="136" t="inlineStr">
        <is>
          <t>南京</t>
        </is>
      </c>
      <c r="I84" s="136" t="inlineStr">
        <is>
          <t>南京</t>
        </is>
      </c>
      <c r="J84" s="136" t="n">
        <v>22400</v>
      </c>
      <c r="K84" s="136" t="n">
        <v>28000</v>
      </c>
      <c r="L84" s="136" t="n">
        <v>5000</v>
      </c>
      <c r="M84" s="136" t="n">
        <v>16800</v>
      </c>
      <c r="P84" s="136" t="inlineStr">
        <is>
          <t>文石50/月</t>
        </is>
      </c>
      <c r="Q84" s="136" t="inlineStr">
        <is>
          <t>有</t>
        </is>
      </c>
      <c r="R84" s="136" t="inlineStr">
        <is>
          <t>有</t>
        </is>
      </c>
      <c r="S84" s="136" t="inlineStr">
        <is>
          <t>有</t>
        </is>
      </c>
      <c r="T84" s="136" t="n">
        <v>3</v>
      </c>
      <c r="U84" s="136" t="n">
        <v>3</v>
      </c>
      <c r="V84" s="136" t="inlineStr">
        <is>
          <t>光学工程</t>
        </is>
      </c>
      <c r="W84" s="140" t="n">
        <v>44012</v>
      </c>
      <c r="X84" s="136" t="inlineStr">
        <is>
          <t>硕士</t>
        </is>
      </c>
      <c r="Y84" s="136" t="inlineStr">
        <is>
          <t>1667620041@qq.com</t>
        </is>
      </c>
      <c r="Z84" s="136" t="inlineStr">
        <is>
          <t>/</t>
        </is>
      </c>
      <c r="AA84" s="136" t="inlineStr">
        <is>
          <t>/</t>
        </is>
      </c>
      <c r="AB84" s="136" t="n">
        <v>17625566433</v>
      </c>
      <c r="AC84" s="521" t="inlineStr">
        <is>
          <t>421122199403091036</t>
        </is>
      </c>
      <c r="AD84" s="136" t="inlineStr">
        <is>
          <t>/</t>
        </is>
      </c>
      <c r="AE84" s="136" t="inlineStr">
        <is>
          <t>/</t>
        </is>
      </c>
      <c r="AF84" s="160" t="n"/>
    </row>
    <row r="85" customFormat="1" s="136">
      <c r="A85" s="136" t="inlineStr">
        <is>
          <t>第35个脱敏</t>
        </is>
      </c>
      <c r="B85" s="136" t="inlineStr">
        <is>
          <t>李思宏（2022-7-25离职）</t>
        </is>
      </c>
      <c r="D85" s="136" t="inlineStr">
        <is>
          <t>软件测试工程师（终端方向）</t>
        </is>
      </c>
      <c r="E85" s="140" t="n">
        <v>44636</v>
      </c>
      <c r="F85" s="140" t="n">
        <v>44727</v>
      </c>
      <c r="G85" s="155" t="n">
        <v>44652</v>
      </c>
      <c r="H85" s="136" t="inlineStr">
        <is>
          <t>南京</t>
        </is>
      </c>
      <c r="I85" s="136" t="inlineStr">
        <is>
          <t>南京</t>
        </is>
      </c>
      <c r="J85" s="136" t="n">
        <v>11200</v>
      </c>
      <c r="K85" s="136" t="n">
        <v>14000</v>
      </c>
      <c r="L85" s="136" t="n">
        <v>4250</v>
      </c>
      <c r="M85" s="136" t="n">
        <v>3000</v>
      </c>
      <c r="P85" s="136" t="inlineStr">
        <is>
          <t>文石50/月</t>
        </is>
      </c>
      <c r="Q85" s="136" t="n">
        <v>18</v>
      </c>
      <c r="R85" s="136" t="n">
        <v>12</v>
      </c>
      <c r="S85" s="136" t="n">
        <v>18</v>
      </c>
      <c r="T85" s="136" t="n">
        <v>3</v>
      </c>
      <c r="U85" s="136" t="n">
        <v>3</v>
      </c>
      <c r="V85" s="136" t="inlineStr">
        <is>
          <t>机械工程</t>
        </is>
      </c>
      <c r="W85" s="140" t="n">
        <v>43646</v>
      </c>
      <c r="X85" s="136" t="inlineStr">
        <is>
          <t>本科</t>
        </is>
      </c>
      <c r="Y85" s="159" t="inlineStr">
        <is>
          <t>li.sihong@foxmail.com</t>
        </is>
      </c>
      <c r="Z85" s="136" t="inlineStr">
        <is>
          <t>四川省自贡市自流井区紫薇路水岸豪庭6栋1单元157号</t>
        </is>
      </c>
      <c r="AA85" s="136" t="inlineStr">
        <is>
          <t>四川省自贡市自流井区紫薇路水岸豪庭6栋1单元157号</t>
        </is>
      </c>
      <c r="AB85" s="136" t="n">
        <v>18913578581</v>
      </c>
      <c r="AC85" s="521" t="inlineStr">
        <is>
          <t>510321199510272997</t>
        </is>
      </c>
      <c r="AD85" s="136" t="inlineStr">
        <is>
          <t>李思宏招商银行：6214855128007552</t>
        </is>
      </c>
      <c r="AE85" s="136" t="inlineStr">
        <is>
          <t>医保卡1891274343</t>
        </is>
      </c>
      <c r="AF85" s="160" t="n"/>
    </row>
    <row r="86" customFormat="1" s="136">
      <c r="A86" s="136" t="inlineStr">
        <is>
          <t>第36个脱敏</t>
        </is>
      </c>
      <c r="B86" s="136" t="inlineStr">
        <is>
          <t>张棋龙（4月1日）</t>
        </is>
      </c>
      <c r="C86" s="136" t="inlineStr">
        <is>
          <t>公积金3201000525864103医保卡1884534445</t>
        </is>
      </c>
      <c r="D86" s="136" t="inlineStr">
        <is>
          <t>开发工程师</t>
        </is>
      </c>
      <c r="E86" s="140" t="n">
        <v>44641</v>
      </c>
      <c r="F86" s="140" t="n">
        <v>44732</v>
      </c>
      <c r="G86" s="140" t="n">
        <v>44652</v>
      </c>
      <c r="H86" s="136" t="inlineStr">
        <is>
          <t>南京</t>
        </is>
      </c>
      <c r="I86" s="136" t="inlineStr">
        <is>
          <t>南京</t>
        </is>
      </c>
      <c r="J86" s="136" t="n">
        <v>12000</v>
      </c>
      <c r="K86" s="136" t="n">
        <v>15000</v>
      </c>
      <c r="L86" s="136" t="n">
        <v>4250</v>
      </c>
      <c r="M86" s="136" t="n">
        <v>12000</v>
      </c>
      <c r="P86" s="136" t="inlineStr">
        <is>
          <t>文石50/月</t>
        </is>
      </c>
      <c r="Q86" s="136" t="n">
        <v>18</v>
      </c>
      <c r="R86" s="136" t="n">
        <v>12</v>
      </c>
      <c r="S86" s="136" t="n">
        <v>18</v>
      </c>
      <c r="T86" s="136" t="n">
        <v>3</v>
      </c>
      <c r="U86" s="136" t="n">
        <v>3</v>
      </c>
      <c r="V86" s="136" t="inlineStr">
        <is>
          <t>计算机科学与技术</t>
        </is>
      </c>
      <c r="W86" s="136" t="n">
        <v>2020.06</v>
      </c>
      <c r="X86" s="136" t="inlineStr">
        <is>
          <t>本科</t>
        </is>
      </c>
      <c r="Y86" s="136" t="inlineStr">
        <is>
          <t>zhangqilongalso@163.com</t>
        </is>
      </c>
      <c r="Z86" s="136" t="inlineStr">
        <is>
          <t>江苏省如皋市东陈镇雪东居一组50号</t>
        </is>
      </c>
      <c r="AA86" s="136" t="inlineStr">
        <is>
          <t>江苏省如皋市东陈镇雪东居一组50号</t>
        </is>
      </c>
      <c r="AB86" s="136" t="n">
        <v>18115146951</v>
      </c>
      <c r="AC86" s="521" t="inlineStr">
        <is>
          <t>320682199811170998</t>
        </is>
      </c>
      <c r="AD86" s="136" t="inlineStr">
        <is>
          <t>张棋龙建行：6217001260009683403</t>
        </is>
      </c>
      <c r="AF86" s="160" t="n"/>
    </row>
    <row r="87" customFormat="1" s="136">
      <c r="A87" s="136" t="inlineStr">
        <is>
          <t>第37个脱敏</t>
        </is>
      </c>
      <c r="B87" s="136" t="inlineStr">
        <is>
          <t>冯学峰（2022-7-25离职）</t>
        </is>
      </c>
      <c r="D87" s="136" t="inlineStr">
        <is>
          <t>JS前端开发工程师</t>
        </is>
      </c>
      <c r="E87" s="140" t="n">
        <v>44657</v>
      </c>
      <c r="F87" s="140" t="n">
        <v>44747</v>
      </c>
      <c r="G87" s="140" t="n">
        <v>44652</v>
      </c>
      <c r="H87" s="136" t="inlineStr">
        <is>
          <t>南京</t>
        </is>
      </c>
      <c r="I87" s="136" t="inlineStr">
        <is>
          <t>南京</t>
        </is>
      </c>
      <c r="J87" s="136" t="n">
        <v>14400</v>
      </c>
      <c r="K87" s="136" t="n">
        <v>18000</v>
      </c>
      <c r="L87" s="136" t="n">
        <v>4250</v>
      </c>
      <c r="M87" s="136" t="inlineStr">
        <is>
          <t>3000基数，10%比例，个人300，公司300</t>
        </is>
      </c>
      <c r="P87" s="136" t="inlineStr">
        <is>
          <t>文石50/月</t>
        </is>
      </c>
      <c r="Q87" s="136" t="n">
        <v>18</v>
      </c>
      <c r="R87" s="136" t="n">
        <v>12</v>
      </c>
      <c r="S87" s="136" t="n">
        <v>18</v>
      </c>
      <c r="T87" s="136" t="n">
        <v>3</v>
      </c>
      <c r="U87" s="136" t="n">
        <v>3</v>
      </c>
      <c r="V87" s="136" t="inlineStr">
        <is>
          <t>机械电子工程</t>
        </is>
      </c>
      <c r="W87" s="140" t="n">
        <v>42181</v>
      </c>
      <c r="X87" s="136" t="inlineStr">
        <is>
          <t>本科（学信网）</t>
        </is>
      </c>
      <c r="Y87" s="136" t="inlineStr">
        <is>
          <t>974692764@qq.com</t>
        </is>
      </c>
      <c r="Z87" s="136" t="inlineStr">
        <is>
          <t>江苏省兴化市昌荣镇朝阳新村刘桶六组210号</t>
        </is>
      </c>
      <c r="AA87" s="136" t="inlineStr">
        <is>
          <t>江苏省兴化市昌荣镇朝阳新村刘桶六组210号</t>
        </is>
      </c>
      <c r="AB87" s="136" t="n">
        <v>17625524867</v>
      </c>
      <c r="AC87" s="136" t="inlineStr">
        <is>
          <t>32128119920302683x</t>
        </is>
      </c>
      <c r="AD87" s="136" t="inlineStr">
        <is>
          <t>冯学峰建行6217001370048485213</t>
        </is>
      </c>
      <c r="AE87" s="136" t="inlineStr">
        <is>
          <t>医保卡1887255217</t>
        </is>
      </c>
      <c r="AF87" s="160" t="inlineStr">
        <is>
          <t>公积金3201000431965802</t>
        </is>
      </c>
    </row>
    <row r="88" customFormat="1" s="136">
      <c r="A88" s="136" t="inlineStr">
        <is>
          <t>第38个脱敏</t>
        </is>
      </c>
      <c r="B88" s="136" t="inlineStr">
        <is>
          <t>胡浩（从未入职）</t>
        </is>
      </c>
      <c r="D88" s="136" t="inlineStr">
        <is>
          <t>JS前端开发工程师</t>
        </is>
      </c>
      <c r="E88" s="140" t="n">
        <v>44648</v>
      </c>
      <c r="F88" s="140" t="n">
        <v>44739</v>
      </c>
      <c r="G88" s="140" t="n">
        <v>44652</v>
      </c>
      <c r="H88" s="136" t="inlineStr">
        <is>
          <t>南京</t>
        </is>
      </c>
      <c r="I88" s="136" t="inlineStr">
        <is>
          <t>南京</t>
        </is>
      </c>
      <c r="J88" s="136" t="n">
        <v>15200</v>
      </c>
      <c r="K88" s="136" t="n">
        <v>18000</v>
      </c>
      <c r="L88" s="136" t="n">
        <v>4250</v>
      </c>
      <c r="M88" s="136" t="inlineStr">
        <is>
          <t>13000，个人扣款2300，公司扣款300</t>
        </is>
      </c>
      <c r="P88" s="136" t="inlineStr">
        <is>
          <t>文石50/月</t>
        </is>
      </c>
      <c r="Q88" s="136" t="n">
        <v>18</v>
      </c>
      <c r="R88" s="136" t="n">
        <v>12</v>
      </c>
      <c r="S88" s="136" t="n">
        <v>18</v>
      </c>
      <c r="T88" s="136" t="n">
        <v>3</v>
      </c>
      <c r="U88" s="136" t="n">
        <v>3</v>
      </c>
      <c r="V88" s="136" t="inlineStr">
        <is>
          <t>信息工程</t>
        </is>
      </c>
      <c r="W88" s="140" t="n">
        <v>42552</v>
      </c>
      <c r="X88" s="136" t="inlineStr">
        <is>
          <t>本科</t>
        </is>
      </c>
      <c r="Y88" s="159" t="inlineStr">
        <is>
          <t>itsmyown@126.com</t>
        </is>
      </c>
      <c r="Z88" s="136" t="inlineStr">
        <is>
          <t>从未入职</t>
        </is>
      </c>
      <c r="AA88" s="136" t="inlineStr">
        <is>
          <t>从未入职</t>
        </is>
      </c>
      <c r="AB88" s="136" t="n">
        <v>17551055912</v>
      </c>
      <c r="AC88" s="521" t="inlineStr">
        <is>
          <t>341203199507081533</t>
        </is>
      </c>
      <c r="AF88" s="160" t="n"/>
    </row>
    <row r="89" customFormat="1" s="136">
      <c r="A89" s="136" t="inlineStr">
        <is>
          <t>第39个脱敏</t>
        </is>
      </c>
      <c r="B89" s="136" t="inlineStr">
        <is>
          <t>谢迪（2022-7-25离职）</t>
        </is>
      </c>
      <c r="D89" s="136" t="inlineStr">
        <is>
          <t>测试开发工程师</t>
        </is>
      </c>
      <c r="E89" s="140" t="inlineStr">
        <is>
          <t>2022/3/16开始算工资 劳动合同写的是3.26</t>
        </is>
      </c>
      <c r="F89" s="140" t="n">
        <v>44726</v>
      </c>
      <c r="G89" s="155" t="n">
        <v>44621</v>
      </c>
      <c r="H89" s="136" t="inlineStr">
        <is>
          <t>深圳</t>
        </is>
      </c>
      <c r="I89" s="136" t="inlineStr">
        <is>
          <t>深圳</t>
        </is>
      </c>
      <c r="J89" s="136" t="n">
        <v>20000</v>
      </c>
      <c r="K89" s="136" t="n">
        <v>25000</v>
      </c>
      <c r="L89" s="136" t="inlineStr">
        <is>
          <t>非深户二档</t>
        </is>
      </c>
      <c r="M89" s="136" t="inlineStr">
        <is>
          <t>2360*5%</t>
        </is>
      </c>
      <c r="P89" s="136" t="inlineStr">
        <is>
          <t>邦芒50/月</t>
        </is>
      </c>
      <c r="Q89" s="136" t="inlineStr">
        <is>
          <t>无</t>
        </is>
      </c>
      <c r="R89" s="136" t="inlineStr">
        <is>
          <t>无</t>
        </is>
      </c>
      <c r="S89" s="136" t="inlineStr">
        <is>
          <t>有</t>
        </is>
      </c>
      <c r="T89" s="136" t="n">
        <v>3</v>
      </c>
      <c r="U89" s="136" t="n">
        <v>3</v>
      </c>
      <c r="V89" s="136" t="inlineStr">
        <is>
          <t>现代企业管理</t>
        </is>
      </c>
      <c r="W89" s="140" t="n">
        <v>43464</v>
      </c>
      <c r="X89" s="136" t="inlineStr">
        <is>
          <t>自考本科</t>
        </is>
      </c>
      <c r="Y89" s="136" t="inlineStr">
        <is>
          <t>raydixiedi@163.com</t>
        </is>
      </c>
      <c r="Z89" s="136" t="inlineStr">
        <is>
          <t>安徽省阜阳市颍州区三十里铺镇翰林村李庄3户</t>
        </is>
      </c>
      <c r="AA89" s="136" t="inlineStr">
        <is>
          <t>安徽省阜阳市颍州区三十里铺镇翰林村李庄3户</t>
        </is>
      </c>
      <c r="AB89" s="136" t="n">
        <v>15889518165</v>
      </c>
      <c r="AC89" s="521" t="inlineStr">
        <is>
          <t>341204198706032517</t>
        </is>
      </c>
      <c r="AD89" s="136" t="inlineStr">
        <is>
          <t>谢迪建行6210817200015465048</t>
        </is>
      </c>
      <c r="AF89" s="160" t="n"/>
    </row>
    <row r="90" customFormat="1" s="136">
      <c r="A90" s="136" t="inlineStr">
        <is>
          <t>第40个脱敏</t>
        </is>
      </c>
      <c r="B90" s="136" t="inlineStr">
        <is>
          <t>丁胜（2022.6.7离职）</t>
        </is>
      </c>
      <c r="C90" s="136" t="inlineStr">
        <is>
          <t>公积金3201000496184668</t>
        </is>
      </c>
      <c r="D90" s="136" t="inlineStr">
        <is>
          <t>Android开发工程师</t>
        </is>
      </c>
      <c r="E90" s="140" t="n">
        <v>44628</v>
      </c>
      <c r="F90" s="140" t="n">
        <v>44719</v>
      </c>
      <c r="G90" s="155" t="n">
        <v>44622</v>
      </c>
      <c r="H90" s="136" t="inlineStr">
        <is>
          <t>南京</t>
        </is>
      </c>
      <c r="I90" s="136" t="inlineStr">
        <is>
          <t>南京</t>
        </is>
      </c>
      <c r="J90" s="136" t="n">
        <v>14400</v>
      </c>
      <c r="K90" s="136" t="n">
        <v>16000</v>
      </c>
      <c r="L90" s="136" t="n">
        <v>5000</v>
      </c>
      <c r="M90" s="136" t="n">
        <v>14400</v>
      </c>
      <c r="P90" s="136" t="inlineStr">
        <is>
          <t>文石50/月</t>
        </is>
      </c>
      <c r="Q90" s="136" t="n">
        <v>18</v>
      </c>
      <c r="R90" s="136" t="n">
        <v>12</v>
      </c>
      <c r="S90" s="136" t="n">
        <v>18</v>
      </c>
      <c r="T90" s="136" t="n">
        <v>3</v>
      </c>
      <c r="U90" s="136" t="n">
        <v>3</v>
      </c>
      <c r="V90" s="136" t="inlineStr">
        <is>
          <t>电子信息工程</t>
        </is>
      </c>
      <c r="W90" s="140" t="n">
        <v>43646</v>
      </c>
      <c r="X90" s="136" t="inlineStr">
        <is>
          <t>本科</t>
        </is>
      </c>
      <c r="Y90" s="159" t="inlineStr">
        <is>
          <t>61716377@qq.com</t>
        </is>
      </c>
      <c r="Z90" s="136" t="inlineStr">
        <is>
          <t>江苏省泗阳县穿城镇集体村二十四组30号</t>
        </is>
      </c>
      <c r="AA90" s="136" t="inlineStr">
        <is>
          <t>江苏省泗阳县穿城镇集体村二十四组30号</t>
        </is>
      </c>
      <c r="AB90" s="136" t="n">
        <v>15715150912</v>
      </c>
      <c r="AC90" s="521" t="inlineStr">
        <is>
          <t>321323199602264116</t>
        </is>
      </c>
      <c r="AD90" s="136" t="inlineStr">
        <is>
          <t>丁胜建行6217001370048215933</t>
        </is>
      </c>
      <c r="AE90" s="136" t="inlineStr">
        <is>
          <t>医保卡1885049993</t>
        </is>
      </c>
      <c r="AF90" s="160" t="n"/>
    </row>
    <row r="91" customFormat="1" s="136">
      <c r="A91" s="136" t="inlineStr">
        <is>
          <t>第41个脱敏</t>
        </is>
      </c>
      <c r="B91" s="136" t="inlineStr">
        <is>
          <t>赵广利（2022.6.7离职）</t>
        </is>
      </c>
      <c r="C91" s="136" t="inlineStr">
        <is>
          <t>公积金账户3201000563772329   医保1893077002</t>
        </is>
      </c>
      <c r="D91" s="136" t="inlineStr">
        <is>
          <t>整机测试</t>
        </is>
      </c>
      <c r="E91" s="140" t="n">
        <v>44629</v>
      </c>
      <c r="F91" s="140" t="n">
        <v>44720</v>
      </c>
      <c r="G91" s="140" t="inlineStr">
        <is>
          <t>2022/3月</t>
        </is>
      </c>
      <c r="H91" s="136" t="inlineStr">
        <is>
          <t>南京</t>
        </is>
      </c>
      <c r="I91" s="136" t="inlineStr">
        <is>
          <t>南京</t>
        </is>
      </c>
      <c r="J91" s="136" t="n">
        <v>8800</v>
      </c>
      <c r="K91" s="136" t="n">
        <v>11000</v>
      </c>
      <c r="L91" s="136" t="n">
        <v>4250</v>
      </c>
      <c r="M91" s="136" t="n">
        <v>8800</v>
      </c>
      <c r="P91" s="136" t="inlineStr">
        <is>
          <t>文石50/月</t>
        </is>
      </c>
      <c r="Q91" s="136" t="n">
        <v>18</v>
      </c>
      <c r="R91" s="136" t="n">
        <v>12</v>
      </c>
      <c r="S91" s="136" t="n">
        <v>18</v>
      </c>
      <c r="T91" s="136" t="n">
        <v>3</v>
      </c>
      <c r="U91" s="136" t="n">
        <v>3</v>
      </c>
      <c r="V91" s="136" t="inlineStr">
        <is>
          <t>软件技术</t>
        </is>
      </c>
      <c r="W91" s="140" t="n">
        <v>44034</v>
      </c>
      <c r="X91" s="136" t="inlineStr">
        <is>
          <t>专科</t>
        </is>
      </c>
      <c r="Y91" s="159" t="inlineStr">
        <is>
          <t>2607640313@qq.com</t>
        </is>
      </c>
      <c r="Z91" s="136" t="inlineStr">
        <is>
          <t>陕西省咸阳市彬县太峪镇断泾村三组155号</t>
        </is>
      </c>
      <c r="AA91" s="136" t="inlineStr">
        <is>
          <t>陕西省咸阳市彬县太峪镇断泾村三组155号</t>
        </is>
      </c>
      <c r="AB91" s="136" t="n">
        <v>18700088667</v>
      </c>
      <c r="AC91" s="521" t="inlineStr">
        <is>
          <t>610427199906105412</t>
        </is>
      </c>
      <c r="AD91" s="136" t="inlineStr">
        <is>
          <t>赵广利建行6217004220054202936</t>
        </is>
      </c>
      <c r="AF91" s="160" t="n"/>
    </row>
    <row r="92" customFormat="1" s="136">
      <c r="A92" s="136" t="inlineStr">
        <is>
          <t>第42个脱敏</t>
        </is>
      </c>
      <c r="B92" s="136" t="inlineStr">
        <is>
          <t>经涛（2022-5-13离职）</t>
        </is>
      </c>
      <c r="D92" s="136" t="inlineStr">
        <is>
          <t>开发工程师</t>
        </is>
      </c>
      <c r="E92" s="140" t="inlineStr">
        <is>
          <t>2022/5月11日</t>
        </is>
      </c>
      <c r="F92" s="140" t="n">
        <v>44783</v>
      </c>
      <c r="G92" s="140" t="n">
        <v>44652</v>
      </c>
      <c r="H92" s="136" t="inlineStr">
        <is>
          <t>南京</t>
        </is>
      </c>
      <c r="I92" s="136" t="inlineStr">
        <is>
          <t>南京</t>
        </is>
      </c>
      <c r="J92" s="136" t="n">
        <v>22400</v>
      </c>
      <c r="K92" s="136" t="n">
        <v>28000</v>
      </c>
      <c r="L92" s="136" t="n">
        <v>5000</v>
      </c>
      <c r="M92" s="136" t="n">
        <v>16800</v>
      </c>
      <c r="P92" s="136" t="inlineStr">
        <is>
          <t>文石50/月</t>
        </is>
      </c>
      <c r="Q92" s="136" t="n">
        <v>18</v>
      </c>
      <c r="R92" s="136" t="n">
        <v>12</v>
      </c>
      <c r="S92" s="136" t="n">
        <v>18</v>
      </c>
      <c r="T92" s="136" t="n">
        <v>3</v>
      </c>
      <c r="U92" s="136" t="n">
        <v>3</v>
      </c>
      <c r="V92" s="136" t="inlineStr">
        <is>
          <t>信息工程</t>
        </is>
      </c>
      <c r="W92" s="136" t="n">
        <v>2014.06</v>
      </c>
      <c r="X92" s="136" t="inlineStr">
        <is>
          <t>本科</t>
        </is>
      </c>
      <c r="Y92" s="159" t="inlineStr">
        <is>
          <t>jt12132514@icloud.com</t>
        </is>
      </c>
      <c r="Z92" s="136" t="inlineStr">
        <is>
          <t>南京市江宁区秣陵街道东善桥社区桥中29号</t>
        </is>
      </c>
      <c r="AA92" s="136" t="inlineStr">
        <is>
          <t>南京市江宁区秣陵街道东善桥社区桥中29号</t>
        </is>
      </c>
      <c r="AB92" s="136" t="n">
        <v>18115153545</v>
      </c>
      <c r="AC92" s="521" t="inlineStr">
        <is>
          <t>320121199012132514</t>
        </is>
      </c>
      <c r="AD92" s="136" t="inlineStr">
        <is>
          <t>经涛建行：6217001370014266480</t>
        </is>
      </c>
      <c r="AE92" s="136" t="inlineStr">
        <is>
          <t>医保卡1880784007</t>
        </is>
      </c>
      <c r="AF92" s="160" t="n"/>
    </row>
    <row r="93" customFormat="1" s="136">
      <c r="A93" s="136" t="inlineStr">
        <is>
          <t>第44个脱敏</t>
        </is>
      </c>
      <c r="B93" s="136" t="inlineStr">
        <is>
          <t>侯逸文</t>
        </is>
      </c>
      <c r="C93" s="136" t="inlineStr">
        <is>
          <t>公积金3201000516278687</t>
        </is>
      </c>
      <c r="D93" s="136" t="inlineStr">
        <is>
          <t>安卓开发工程师</t>
        </is>
      </c>
      <c r="E93" s="140" t="n">
        <v>44641</v>
      </c>
      <c r="F93" s="140" t="n">
        <v>44732</v>
      </c>
      <c r="G93" s="136" t="inlineStr">
        <is>
          <t>2022/4月</t>
        </is>
      </c>
      <c r="H93" s="136" t="inlineStr">
        <is>
          <t>南京</t>
        </is>
      </c>
      <c r="I93" s="136" t="inlineStr">
        <is>
          <t>南京</t>
        </is>
      </c>
      <c r="J93" s="136" t="n">
        <v>10400</v>
      </c>
      <c r="K93" s="136" t="n">
        <v>13000</v>
      </c>
      <c r="L93" s="136" t="n">
        <v>4250</v>
      </c>
      <c r="M93" s="136" t="inlineStr">
        <is>
          <t xml:space="preserve">10400*10% </t>
        </is>
      </c>
      <c r="P93" s="136" t="inlineStr">
        <is>
          <t>文石50/月</t>
        </is>
      </c>
      <c r="Q93" s="136" t="n">
        <v>18</v>
      </c>
      <c r="R93" s="136" t="n">
        <v>12</v>
      </c>
      <c r="S93" s="136" t="n">
        <v>18</v>
      </c>
      <c r="T93" s="136" t="n">
        <v>3</v>
      </c>
      <c r="U93" s="136" t="n">
        <v>3</v>
      </c>
      <c r="V93" s="136" t="inlineStr">
        <is>
          <t>软件工程</t>
        </is>
      </c>
      <c r="W93" s="140" t="n">
        <v>43983</v>
      </c>
      <c r="X93" s="136" t="inlineStr">
        <is>
          <t>本科</t>
        </is>
      </c>
      <c r="Y93" s="159" t="inlineStr">
        <is>
          <t>2407428749@qq.com</t>
        </is>
      </c>
      <c r="Z93" s="136" t="inlineStr">
        <is>
          <t>南京市鼓楼区裴家桥20号601室</t>
        </is>
      </c>
      <c r="AA93" s="136" t="inlineStr">
        <is>
          <t>南京市鼓楼区裴家桥20号601室</t>
        </is>
      </c>
      <c r="AB93" s="136" t="n">
        <v>13851487308</v>
      </c>
      <c r="AC93" s="521" t="inlineStr">
        <is>
          <t>320106199708031611</t>
        </is>
      </c>
      <c r="AD93" s="136" t="inlineStr">
        <is>
          <t>候逸文建行：6236681290001162939</t>
        </is>
      </c>
      <c r="AE93" s="136" t="inlineStr">
        <is>
          <t>医保卡1000473859</t>
        </is>
      </c>
      <c r="AF93" s="160" t="n"/>
    </row>
    <row r="94" customFormat="1" s="136">
      <c r="A94" s="136" t="inlineStr">
        <is>
          <t>第45个脱敏</t>
        </is>
      </c>
      <c r="B94" s="136" t="inlineStr">
        <is>
          <t>张世伟</t>
        </is>
      </c>
      <c r="C94" s="136" t="inlineStr">
        <is>
          <t>公积金3201000537332128</t>
        </is>
      </c>
      <c r="D94" s="136" t="inlineStr">
        <is>
          <t>测试工程师</t>
        </is>
      </c>
      <c r="E94" s="140" t="n">
        <v>44641</v>
      </c>
      <c r="F94" s="140" t="n">
        <v>44732</v>
      </c>
      <c r="G94" s="136" t="inlineStr">
        <is>
          <t>2022/4月</t>
        </is>
      </c>
      <c r="H94" s="136" t="inlineStr">
        <is>
          <t>南京</t>
        </is>
      </c>
      <c r="I94" s="136" t="inlineStr">
        <is>
          <t>南京</t>
        </is>
      </c>
      <c r="J94" s="136" t="n">
        <v>6000</v>
      </c>
      <c r="K94" s="136" t="n">
        <v>7500</v>
      </c>
      <c r="L94" s="136" t="n">
        <v>4250</v>
      </c>
      <c r="M94" s="136" t="inlineStr">
        <is>
          <t>6000*10%</t>
        </is>
      </c>
      <c r="P94" s="136" t="inlineStr">
        <is>
          <t>文石50/月</t>
        </is>
      </c>
      <c r="Q94" s="136" t="n">
        <v>18</v>
      </c>
      <c r="R94" s="136" t="n">
        <v>12</v>
      </c>
      <c r="S94" s="136" t="n">
        <v>18</v>
      </c>
      <c r="T94" s="136" t="n">
        <v>3</v>
      </c>
      <c r="U94" s="136" t="n">
        <v>3</v>
      </c>
      <c r="V94" s="136" t="inlineStr">
        <is>
          <t>通信工程</t>
        </is>
      </c>
      <c r="W94" s="136" t="inlineStr">
        <is>
          <t>2021/6/1日</t>
        </is>
      </c>
      <c r="X94" s="136" t="inlineStr">
        <is>
          <t>本科</t>
        </is>
      </c>
      <c r="Y94" s="159" t="inlineStr">
        <is>
          <t>1742562359@qq.com</t>
        </is>
      </c>
      <c r="Z94" s="136" t="inlineStr">
        <is>
          <t>安徽省舒城县南港镇缸窑村大窑组</t>
        </is>
      </c>
      <c r="AA94" s="136" t="inlineStr">
        <is>
          <t>安徽省舒城县南港镇缸窑村大窑组</t>
        </is>
      </c>
      <c r="AB94" s="136" t="n">
        <v>18154199821</v>
      </c>
      <c r="AC94" s="521" t="inlineStr">
        <is>
          <t>342425199905012015</t>
        </is>
      </c>
      <c r="AD94" s="136" t="inlineStr">
        <is>
          <t>张世伟建行6214671370013942046</t>
        </is>
      </c>
      <c r="AE94" s="136" t="inlineStr">
        <is>
          <t>医保卡1891981382</t>
        </is>
      </c>
      <c r="AF94" s="160" t="n"/>
    </row>
    <row r="95" customFormat="1" s="136">
      <c r="A95" s="136" t="inlineStr">
        <is>
          <t>第46个脱敏</t>
        </is>
      </c>
      <c r="B95" s="136" t="inlineStr">
        <is>
          <t>王剑晟</t>
        </is>
      </c>
      <c r="D95" s="136" t="inlineStr">
        <is>
          <t>整机测试</t>
        </is>
      </c>
      <c r="E95" s="140" t="n">
        <v>44666</v>
      </c>
      <c r="F95" s="140" t="n">
        <v>44756</v>
      </c>
      <c r="G95" s="136" t="inlineStr">
        <is>
          <t>2022/4月</t>
        </is>
      </c>
      <c r="H95" s="136" t="inlineStr">
        <is>
          <t>南京</t>
        </is>
      </c>
      <c r="I95" s="136" t="inlineStr">
        <is>
          <t>南京</t>
        </is>
      </c>
      <c r="J95" s="136" t="n">
        <v>7600</v>
      </c>
      <c r="K95" s="136" t="n">
        <v>9500</v>
      </c>
      <c r="L95" s="136" t="n">
        <v>4250</v>
      </c>
      <c r="M95" s="136" t="n">
        <v>7600</v>
      </c>
      <c r="P95" s="136" t="inlineStr">
        <is>
          <t>文石50/月</t>
        </is>
      </c>
      <c r="Q95" s="136" t="n">
        <v>18</v>
      </c>
      <c r="R95" s="136" t="n">
        <v>12</v>
      </c>
      <c r="S95" s="136" t="n">
        <v>18</v>
      </c>
      <c r="T95" s="136" t="n">
        <v>3</v>
      </c>
      <c r="U95" s="136" t="n">
        <v>3</v>
      </c>
      <c r="V95" s="136" t="inlineStr">
        <is>
          <t>数控技术</t>
        </is>
      </c>
      <c r="W95" s="140" t="n">
        <v>43281</v>
      </c>
      <c r="X95" s="136" t="inlineStr">
        <is>
          <t>大专</t>
        </is>
      </c>
      <c r="Y95" s="159" t="inlineStr">
        <is>
          <t>908029799@qq.com</t>
        </is>
      </c>
      <c r="Z95" s="136" t="inlineStr">
        <is>
          <t>江苏省泰兴市黄桥镇南岱村南王十二组16号</t>
        </is>
      </c>
      <c r="AA95" s="136" t="inlineStr">
        <is>
          <t>江苏省泰兴市黄桥镇南岱村南王十二组16号</t>
        </is>
      </c>
      <c r="AB95" s="136" t="n">
        <v>18451668681</v>
      </c>
      <c r="AC95" s="521" t="inlineStr">
        <is>
          <t>321283199801191213</t>
        </is>
      </c>
      <c r="AD95" s="136" t="inlineStr">
        <is>
          <t>王剑晟建行6217001310007908516</t>
        </is>
      </c>
      <c r="AE95" s="136" t="inlineStr">
        <is>
          <t>医保卡1890391065</t>
        </is>
      </c>
      <c r="AF95" s="160" t="n"/>
    </row>
    <row r="96" customFormat="1" s="136">
      <c r="A96" s="136" t="inlineStr">
        <is>
          <t>第47个脱敏</t>
        </is>
      </c>
      <c r="B96" s="136" t="inlineStr">
        <is>
          <t>王诗意</t>
        </is>
      </c>
      <c r="D96" s="136" t="inlineStr">
        <is>
          <t>camera tuning</t>
        </is>
      </c>
      <c r="E96" s="140" t="n">
        <v>44658</v>
      </c>
      <c r="F96" s="140" t="n">
        <v>44748</v>
      </c>
      <c r="G96" s="136" t="inlineStr">
        <is>
          <t>2022/4月</t>
        </is>
      </c>
      <c r="H96" s="136" t="inlineStr">
        <is>
          <t>南京</t>
        </is>
      </c>
      <c r="I96" s="136" t="inlineStr">
        <is>
          <t>南京</t>
        </is>
      </c>
      <c r="J96" s="136" t="n">
        <v>8000</v>
      </c>
      <c r="K96" s="136" t="n">
        <v>10000</v>
      </c>
      <c r="L96" s="136" t="n">
        <v>4250</v>
      </c>
      <c r="M96" s="136" t="n">
        <v>8000</v>
      </c>
      <c r="P96" s="136" t="inlineStr">
        <is>
          <t>文石50/月</t>
        </is>
      </c>
      <c r="Q96" s="136" t="n">
        <v>18</v>
      </c>
      <c r="R96" s="136" t="n">
        <v>12</v>
      </c>
      <c r="S96" s="136" t="n">
        <v>18</v>
      </c>
      <c r="T96" s="136" t="n">
        <v>3</v>
      </c>
      <c r="U96" s="136" t="n">
        <v>3</v>
      </c>
      <c r="V96" s="136" t="inlineStr">
        <is>
          <t>自动化</t>
        </is>
      </c>
      <c r="W96" s="140" t="n">
        <v>44377</v>
      </c>
      <c r="X96" s="136" t="inlineStr">
        <is>
          <t>本科</t>
        </is>
      </c>
      <c r="Y96" s="159" t="inlineStr">
        <is>
          <t>784766448@qq.com</t>
        </is>
      </c>
      <c r="Z96" s="136" t="inlineStr">
        <is>
          <t>四川省金堂县赵镇文化街219号</t>
        </is>
      </c>
      <c r="AA96" s="136" t="inlineStr">
        <is>
          <t>四川省金堂县赵镇文化街219号</t>
        </is>
      </c>
      <c r="AB96" s="136" t="n">
        <v>13260756175</v>
      </c>
      <c r="AC96" s="521" t="inlineStr">
        <is>
          <t>510121199808165026</t>
        </is>
      </c>
      <c r="AD96" s="160" t="inlineStr">
        <is>
          <t>王诗意中国银行6217856100111295017，开户网点：江苏省分行南京城南支行营业部</t>
        </is>
      </c>
      <c r="AE96" s="136" t="inlineStr">
        <is>
          <t>医保卡1886596560</t>
        </is>
      </c>
      <c r="AF96" s="160" t="n"/>
    </row>
    <row r="97" customFormat="1" s="136">
      <c r="A97" s="136" t="inlineStr">
        <is>
          <t>第48个脱敏</t>
        </is>
      </c>
      <c r="B97" s="136" t="inlineStr">
        <is>
          <t>邱娜（3月34日离职）</t>
        </is>
      </c>
      <c r="D97" s="136" t="inlineStr">
        <is>
          <t>整机测试</t>
        </is>
      </c>
      <c r="E97" s="140" t="n">
        <v>44641</v>
      </c>
      <c r="F97" s="140" t="n">
        <v>44732</v>
      </c>
      <c r="G97" s="136" t="inlineStr">
        <is>
          <t>2022/4月 离职</t>
        </is>
      </c>
      <c r="H97" s="136" t="inlineStr">
        <is>
          <t>南京</t>
        </is>
      </c>
      <c r="I97" s="136" t="inlineStr">
        <is>
          <t>南京</t>
        </is>
      </c>
      <c r="J97" s="136" t="n">
        <v>8000</v>
      </c>
      <c r="K97" s="136" t="n">
        <v>10000</v>
      </c>
      <c r="L97" s="136" t="n">
        <v>4250</v>
      </c>
      <c r="M97" s="136" t="n">
        <v>8000</v>
      </c>
      <c r="P97" s="136" t="inlineStr">
        <is>
          <t>文石50/月</t>
        </is>
      </c>
      <c r="Q97" s="136" t="n">
        <v>18</v>
      </c>
      <c r="R97" s="136" t="n">
        <v>12</v>
      </c>
      <c r="S97" s="136" t="n">
        <v>18</v>
      </c>
      <c r="T97" s="136" t="n">
        <v>3</v>
      </c>
      <c r="U97" s="136" t="n">
        <v>3</v>
      </c>
      <c r="V97" s="136" t="inlineStr">
        <is>
          <t>整机测试</t>
        </is>
      </c>
      <c r="W97" s="140" t="n">
        <v>43638</v>
      </c>
      <c r="X97" s="136" t="inlineStr">
        <is>
          <t>本科</t>
        </is>
      </c>
      <c r="Y97" s="159" t="inlineStr">
        <is>
          <t>1447984287@qq.com</t>
        </is>
      </c>
      <c r="Z97" s="136" t="inlineStr">
        <is>
          <t>江苏省赣榆县金山镇河北村东河北一队33号</t>
        </is>
      </c>
      <c r="AA97" s="136" t="inlineStr">
        <is>
          <t>江苏省赣榆县金山镇河北村东河北一队33号</t>
        </is>
      </c>
      <c r="AB97" s="136" t="n">
        <v>15951737952</v>
      </c>
      <c r="AC97" s="521" t="inlineStr">
        <is>
          <t>320721199508184628</t>
        </is>
      </c>
      <c r="AD97" s="136" t="inlineStr">
        <is>
          <t>邱娜建行6236691290000031463</t>
        </is>
      </c>
      <c r="AE97" s="136" t="inlineStr">
        <is>
          <t>医保卡1884346099</t>
        </is>
      </c>
      <c r="AF97" s="160" t="n"/>
    </row>
    <row r="98" customFormat="1" s="136">
      <c r="A98" s="136" t="inlineStr">
        <is>
          <t>第49个脱敏</t>
        </is>
      </c>
      <c r="B98" s="136" t="inlineStr">
        <is>
          <t>张雪蒙（从未入职）</t>
        </is>
      </c>
      <c r="D98" s="136" t="inlineStr">
        <is>
          <t>C/C++应用开发工程师</t>
        </is>
      </c>
      <c r="E98" s="140" t="n">
        <v>44649</v>
      </c>
      <c r="F98" s="140" t="n">
        <v>44740</v>
      </c>
      <c r="G98" s="136" t="inlineStr">
        <is>
          <t>2022/4月 离职</t>
        </is>
      </c>
      <c r="H98" s="136" t="inlineStr">
        <is>
          <t>西安</t>
        </is>
      </c>
      <c r="I98" s="136" t="inlineStr">
        <is>
          <t>西安</t>
        </is>
      </c>
      <c r="J98" s="136" t="n">
        <v>14000</v>
      </c>
      <c r="K98" s="136" t="n">
        <v>17500</v>
      </c>
      <c r="L98" s="136" t="n">
        <v>3632</v>
      </c>
      <c r="M98" s="136" t="inlineStr">
        <is>
          <t>3000（10%）</t>
        </is>
      </c>
      <c r="P98" s="136" t="inlineStr">
        <is>
          <t>邦芒50/月</t>
        </is>
      </c>
      <c r="Q98" s="136" t="n">
        <v>18</v>
      </c>
      <c r="R98" s="136" t="n">
        <v>12</v>
      </c>
      <c r="S98" s="136" t="inlineStr">
        <is>
          <t>无，其中加班费（15元/小时）</t>
        </is>
      </c>
      <c r="T98" s="136" t="n">
        <v>3</v>
      </c>
      <c r="U98" s="136" t="n">
        <v>3</v>
      </c>
      <c r="V98" s="136" t="inlineStr">
        <is>
          <t>电子信息工程</t>
        </is>
      </c>
      <c r="W98" s="140" t="n">
        <v>42919</v>
      </c>
      <c r="X98" s="136" t="inlineStr">
        <is>
          <t>本科</t>
        </is>
      </c>
      <c r="Y98" s="159" t="inlineStr">
        <is>
          <t>18829070211@163.com</t>
        </is>
      </c>
      <c r="Z98" s="136" t="inlineStr">
        <is>
          <t>从未入职</t>
        </is>
      </c>
      <c r="AA98" s="136" t="inlineStr">
        <is>
          <t>从未入职</t>
        </is>
      </c>
      <c r="AB98" s="136" t="n">
        <v>18829070211</v>
      </c>
      <c r="AC98" s="521" t="inlineStr">
        <is>
          <t>610527199602206420</t>
        </is>
      </c>
      <c r="AD98" s="136" t="inlineStr">
        <is>
          <t>从未入职</t>
        </is>
      </c>
      <c r="AF98" s="160" t="n"/>
    </row>
    <row r="99" customFormat="1" s="136">
      <c r="A99" s="136" t="inlineStr">
        <is>
          <t>第50个脱敏</t>
        </is>
      </c>
      <c r="B99" s="136" t="inlineStr">
        <is>
          <t>罗森耀-成都（从未入职）</t>
        </is>
      </c>
      <c r="D99" s="136" t="inlineStr">
        <is>
          <t>bsp</t>
        </is>
      </c>
      <c r="E99" s="140" t="n">
        <v>44671</v>
      </c>
      <c r="F99" s="140" t="n">
        <v>44761</v>
      </c>
      <c r="G99" s="136" t="inlineStr">
        <is>
          <t>2022/4月</t>
        </is>
      </c>
      <c r="H99" s="136" t="inlineStr">
        <is>
          <t>成都</t>
        </is>
      </c>
      <c r="I99" s="136" t="inlineStr">
        <is>
          <t>成都</t>
        </is>
      </c>
      <c r="J99" s="136">
        <f>13000*0.8</f>
        <v/>
      </c>
      <c r="K99" s="136" t="n">
        <v>13000</v>
      </c>
      <c r="L99" s="136" t="n">
        <v>3416</v>
      </c>
      <c r="M99" s="136" t="n">
        <v>3000</v>
      </c>
      <c r="P99" s="136" t="inlineStr">
        <is>
          <t>邦芒50/月</t>
        </is>
      </c>
      <c r="Q99" s="136" t="n">
        <v>18</v>
      </c>
      <c r="R99" s="136" t="n">
        <v>12</v>
      </c>
      <c r="S99" s="136" t="n">
        <v>18</v>
      </c>
      <c r="T99" s="136" t="n">
        <v>4</v>
      </c>
      <c r="U99" s="136" t="n">
        <v>3</v>
      </c>
      <c r="V99" s="136" t="inlineStr">
        <is>
          <t>测控技术和仪器</t>
        </is>
      </c>
      <c r="W99" s="140" t="n">
        <v>44012</v>
      </c>
      <c r="X99" s="136" t="inlineStr">
        <is>
          <t>本科</t>
        </is>
      </c>
      <c r="Y99" s="164" t="inlineStr">
        <is>
          <t>739772216@qq.com</t>
        </is>
      </c>
      <c r="Z99" s="136" t="inlineStr">
        <is>
          <t>从未入职</t>
        </is>
      </c>
      <c r="AA99" s="136" t="inlineStr">
        <is>
          <t>从未入职</t>
        </is>
      </c>
      <c r="AB99" s="136" t="n">
        <v>18200232921</v>
      </c>
      <c r="AC99" s="521" t="inlineStr">
        <is>
          <t xml:space="preserve"> 513029199802132192</t>
        </is>
      </c>
      <c r="AD99" s="136" t="inlineStr">
        <is>
          <t>/</t>
        </is>
      </c>
      <c r="AF99" s="160" t="n"/>
    </row>
    <row r="100" customFormat="1" s="136">
      <c r="A100" s="136" t="inlineStr">
        <is>
          <t>第51个脱敏</t>
        </is>
      </c>
      <c r="B100" s="136" t="inlineStr">
        <is>
          <t>张磊</t>
        </is>
      </c>
      <c r="C100" s="136" t="inlineStr">
        <is>
          <t>公积金3201000540374758</t>
        </is>
      </c>
      <c r="D100" s="136" t="inlineStr">
        <is>
          <t>测试工程师</t>
        </is>
      </c>
      <c r="E100" s="140" t="n">
        <v>44664</v>
      </c>
      <c r="F100" s="140" t="n">
        <v>44754</v>
      </c>
      <c r="G100" s="136" t="inlineStr">
        <is>
          <t>2022/4月</t>
        </is>
      </c>
      <c r="H100" s="136" t="inlineStr">
        <is>
          <t>南京</t>
        </is>
      </c>
      <c r="I100" s="136" t="inlineStr">
        <is>
          <t>南京</t>
        </is>
      </c>
      <c r="J100" s="136" t="n">
        <v>10800</v>
      </c>
      <c r="K100" s="136" t="n">
        <v>13500</v>
      </c>
      <c r="L100" s="136" t="n">
        <v>4250</v>
      </c>
      <c r="M100" s="136" t="inlineStr">
        <is>
          <t>3000（10%）</t>
        </is>
      </c>
      <c r="P100" s="136" t="inlineStr">
        <is>
          <t>文石50/月</t>
        </is>
      </c>
      <c r="Q100" s="136" t="n">
        <v>18</v>
      </c>
      <c r="R100" s="136" t="n">
        <v>12</v>
      </c>
      <c r="S100" s="136" t="n">
        <v>18</v>
      </c>
      <c r="T100" s="136" t="n">
        <v>3</v>
      </c>
      <c r="U100" s="136" t="n">
        <v>3</v>
      </c>
      <c r="V100" s="136" t="inlineStr">
        <is>
          <t>汽车制造与装配技术</t>
        </is>
      </c>
      <c r="W100" s="140" t="n">
        <v>43282</v>
      </c>
      <c r="X100" s="136" t="inlineStr">
        <is>
          <t>专科</t>
        </is>
      </c>
      <c r="Y100" s="159" t="inlineStr">
        <is>
          <t>2766166875@qq.com</t>
        </is>
      </c>
      <c r="Z100" s="136" t="inlineStr">
        <is>
          <t>山西省五寨县三岔镇何家梁村1区12号</t>
        </is>
      </c>
      <c r="AA100" s="136" t="inlineStr">
        <is>
          <t>山西省五寨县三岔镇何家梁村1区12号</t>
        </is>
      </c>
      <c r="AB100" s="136" t="n">
        <v>15735531915</v>
      </c>
      <c r="AC100" s="521" t="inlineStr">
        <is>
          <t>142230199705123215</t>
        </is>
      </c>
      <c r="AD100" s="136" t="inlineStr">
        <is>
          <t>张磊建行6217000280002881466</t>
        </is>
      </c>
      <c r="AE100" s="136" t="inlineStr">
        <is>
          <t>医保卡1891920040</t>
        </is>
      </c>
      <c r="AF100" s="160" t="n"/>
    </row>
    <row r="101" customFormat="1" s="136">
      <c r="A101" s="136" t="inlineStr">
        <is>
          <t>第52个脱敏</t>
        </is>
      </c>
      <c r="B101" s="136" t="inlineStr">
        <is>
          <t>胡利斌</t>
        </is>
      </c>
      <c r="D101" s="136" t="inlineStr">
        <is>
          <t>助理服务器开发工程师</t>
        </is>
      </c>
      <c r="E101" s="140" t="n">
        <v>44657</v>
      </c>
      <c r="F101" s="140" t="n">
        <v>44747</v>
      </c>
      <c r="G101" s="136" t="inlineStr">
        <is>
          <t>2022/4月</t>
        </is>
      </c>
      <c r="H101" s="136" t="inlineStr">
        <is>
          <t>南京</t>
        </is>
      </c>
      <c r="I101" s="136" t="inlineStr">
        <is>
          <t>南京</t>
        </is>
      </c>
      <c r="J101" s="136" t="n">
        <v>25000</v>
      </c>
      <c r="K101" s="136" t="n">
        <v>25000</v>
      </c>
      <c r="L101" s="136" t="n">
        <v>4250</v>
      </c>
      <c r="M101" s="136" t="inlineStr">
        <is>
          <t>2280*10%</t>
        </is>
      </c>
      <c r="P101" s="136" t="inlineStr">
        <is>
          <t>文石50/月</t>
        </is>
      </c>
      <c r="Q101" s="136" t="n">
        <v>18</v>
      </c>
      <c r="R101" s="136" t="n">
        <v>12</v>
      </c>
      <c r="S101" s="136" t="n">
        <v>18</v>
      </c>
      <c r="T101" s="136" t="n">
        <v>3</v>
      </c>
      <c r="U101" s="136" t="n">
        <v>3</v>
      </c>
      <c r="V101" s="136" t="inlineStr">
        <is>
          <t>电气工程及其自动化</t>
        </is>
      </c>
      <c r="W101" s="140" t="n">
        <v>42183</v>
      </c>
      <c r="X101" s="136" t="inlineStr">
        <is>
          <t>本科</t>
        </is>
      </c>
      <c r="Y101" s="159" t="inlineStr">
        <is>
          <t>18512546559@163.com</t>
        </is>
      </c>
      <c r="Z101" s="136" t="inlineStr">
        <is>
          <t>江苏省宜兴市周铁镇洋溪村旧渎42号</t>
        </is>
      </c>
      <c r="AA101" s="136" t="inlineStr">
        <is>
          <t>江苏省宜兴市周铁镇洋溪村旧渎42号</t>
        </is>
      </c>
      <c r="AB101" s="136" t="n">
        <v>18512546559</v>
      </c>
      <c r="AC101" s="521" t="inlineStr">
        <is>
          <t>320282199302257970</t>
        </is>
      </c>
      <c r="AD101" s="136" t="inlineStr">
        <is>
          <t>胡利斌建行6217001370041494188</t>
        </is>
      </c>
      <c r="AE101" s="136" t="inlineStr">
        <is>
          <t>医保卡1885276080</t>
        </is>
      </c>
      <c r="AF101" s="160" t="n"/>
    </row>
    <row r="102" customFormat="1" s="136">
      <c r="A102" s="136" t="inlineStr">
        <is>
          <t>第53个脱敏</t>
        </is>
      </c>
      <c r="B102" s="136" t="inlineStr">
        <is>
          <t>李梦娇（从未入职）</t>
        </is>
      </c>
      <c r="D102" s="136" t="inlineStr">
        <is>
          <t>测试pm</t>
        </is>
      </c>
      <c r="E102" s="140" t="n">
        <v>44645</v>
      </c>
      <c r="F102" s="140" t="n">
        <v>44736</v>
      </c>
      <c r="G102" s="136" t="inlineStr">
        <is>
          <t>2022/4月</t>
        </is>
      </c>
      <c r="H102" s="136" t="inlineStr">
        <is>
          <t xml:space="preserve"> 南京</t>
        </is>
      </c>
      <c r="I102" s="136" t="inlineStr">
        <is>
          <t>南京</t>
        </is>
      </c>
      <c r="J102" s="136" t="n">
        <v>6000</v>
      </c>
      <c r="K102" s="136" t="n">
        <v>7500</v>
      </c>
      <c r="L102" s="136" t="n">
        <v>4250</v>
      </c>
      <c r="M102" s="136" t="n">
        <v>6000</v>
      </c>
      <c r="P102" s="136" t="inlineStr">
        <is>
          <t>文石50/月</t>
        </is>
      </c>
      <c r="Q102" s="136" t="n">
        <v>18</v>
      </c>
      <c r="R102" s="136" t="n">
        <v>12</v>
      </c>
      <c r="S102" s="136" t="n">
        <v>18</v>
      </c>
      <c r="T102" s="136" t="n">
        <v>3</v>
      </c>
      <c r="U102" s="136" t="n">
        <v>3</v>
      </c>
      <c r="V102" s="136" t="inlineStr">
        <is>
          <t>网络工程</t>
        </is>
      </c>
      <c r="W102" s="136" t="inlineStr">
        <is>
          <t>2021/6/1日</t>
        </is>
      </c>
      <c r="X102" s="136" t="inlineStr">
        <is>
          <t>本科</t>
        </is>
      </c>
      <c r="Y102" s="159" t="inlineStr">
        <is>
          <t>2694540712@qq.com</t>
        </is>
      </c>
      <c r="Z102" s="136" t="inlineStr">
        <is>
          <t>从未入职</t>
        </is>
      </c>
      <c r="AA102" s="136" t="inlineStr">
        <is>
          <t>从未入职</t>
        </is>
      </c>
      <c r="AB102" s="136" t="n">
        <v>17636008697</v>
      </c>
      <c r="AC102" s="521" t="inlineStr">
        <is>
          <t>140428199807085624</t>
        </is>
      </c>
      <c r="AD102" s="136" t="inlineStr">
        <is>
          <t>从未入职</t>
        </is>
      </c>
      <c r="AF102" s="160" t="n"/>
    </row>
    <row r="103" customFormat="1" s="136">
      <c r="A103" s="136" t="inlineStr">
        <is>
          <t>第54个脱敏</t>
        </is>
      </c>
      <c r="B103" s="136" t="inlineStr">
        <is>
          <t>王涛</t>
        </is>
      </c>
      <c r="D103" s="136" t="inlineStr">
        <is>
          <t>基带工程师</t>
        </is>
      </c>
      <c r="E103" s="140" t="n">
        <v>44664</v>
      </c>
      <c r="F103" s="140" t="n">
        <v>44753</v>
      </c>
      <c r="G103" s="136" t="inlineStr">
        <is>
          <t>2022/4月</t>
        </is>
      </c>
      <c r="H103" s="136" t="inlineStr">
        <is>
          <t xml:space="preserve">上海 </t>
        </is>
      </c>
      <c r="I103" s="136" t="inlineStr">
        <is>
          <t>上海</t>
        </is>
      </c>
      <c r="J103" s="136" t="n">
        <v>20000</v>
      </c>
      <c r="K103" s="136" t="n">
        <v>25000</v>
      </c>
      <c r="L103" s="136" t="n">
        <v>5975</v>
      </c>
      <c r="M103" s="136" t="inlineStr">
        <is>
          <t>2480*7%</t>
        </is>
      </c>
      <c r="P103" s="136" t="inlineStr">
        <is>
          <t>邦芒50/月</t>
        </is>
      </c>
      <c r="Q103" s="136" t="n">
        <v>0</v>
      </c>
      <c r="R103" s="136" t="n">
        <v>0</v>
      </c>
      <c r="S103" s="136" t="n">
        <v>18</v>
      </c>
      <c r="T103" s="136" t="n">
        <v>3</v>
      </c>
      <c r="U103" s="136" t="n">
        <v>3</v>
      </c>
      <c r="V103" s="136" t="inlineStr">
        <is>
          <t>自动化</t>
        </is>
      </c>
      <c r="W103" s="140" t="n">
        <v>42186</v>
      </c>
      <c r="X103" s="136" t="inlineStr">
        <is>
          <t>本科</t>
        </is>
      </c>
      <c r="Y103" s="159" t="inlineStr">
        <is>
          <t>1490785073@qq.com</t>
        </is>
      </c>
      <c r="Z103" s="136" t="inlineStr">
        <is>
          <t>安徽省桐城市文昌街道办事处碧峰村王瓦组17号</t>
        </is>
      </c>
      <c r="AA103" s="136" t="inlineStr">
        <is>
          <t>安徽省桐城市文昌街道办事处碧峰村王瓦组17号</t>
        </is>
      </c>
      <c r="AB103" s="136" t="n">
        <v>18325649738</v>
      </c>
      <c r="AC103" s="521" t="inlineStr">
        <is>
          <t>340881199105150234</t>
        </is>
      </c>
      <c r="AD103" s="136" t="inlineStr">
        <is>
          <t>周浦支行 招商银行卡: 6214832197264349</t>
        </is>
      </c>
      <c r="AF103" s="160" t="n"/>
    </row>
    <row r="104" customFormat="1" s="136">
      <c r="A104" s="136" t="inlineStr">
        <is>
          <t>第55个脱敏</t>
        </is>
      </c>
      <c r="B104" s="136" t="inlineStr">
        <is>
          <t>章承龙-深圳-无补贴（2022-7-25离职）</t>
        </is>
      </c>
      <c r="D104" s="136" t="inlineStr">
        <is>
          <t>后端开发工程师</t>
        </is>
      </c>
      <c r="E104" s="140" t="n">
        <v>44645</v>
      </c>
      <c r="F104" s="140" t="n">
        <v>44736</v>
      </c>
      <c r="G104" s="136" t="inlineStr">
        <is>
          <t>2022/4月</t>
        </is>
      </c>
      <c r="H104" s="136" t="inlineStr">
        <is>
          <t>深圳</t>
        </is>
      </c>
      <c r="I104" s="136" t="inlineStr">
        <is>
          <t>深圳</t>
        </is>
      </c>
      <c r="J104" s="136" t="n">
        <v>25500</v>
      </c>
      <c r="K104" s="136" t="n">
        <v>25500</v>
      </c>
      <c r="L104" s="136" t="n">
        <v>2360</v>
      </c>
      <c r="M104" s="136" t="inlineStr">
        <is>
          <t>2360*5%</t>
        </is>
      </c>
      <c r="P104" s="136" t="inlineStr">
        <is>
          <t>邦芒50/月</t>
        </is>
      </c>
      <c r="Q104" s="136" t="n">
        <v>0</v>
      </c>
      <c r="R104" s="136" t="n">
        <v>0</v>
      </c>
      <c r="S104" s="136" t="n">
        <v>18</v>
      </c>
      <c r="T104" s="136" t="n">
        <v>3</v>
      </c>
      <c r="U104" s="136" t="n">
        <v>3</v>
      </c>
      <c r="V104" s="136" t="inlineStr">
        <is>
          <t>水利水电工程</t>
        </is>
      </c>
      <c r="W104" s="136" t="inlineStr">
        <is>
          <t>2013.6.30</t>
        </is>
      </c>
      <c r="X104" s="136" t="inlineStr">
        <is>
          <t>本科</t>
        </is>
      </c>
      <c r="Y104" s="159" t="inlineStr">
        <is>
          <t>1446719386@qq.com</t>
        </is>
      </c>
      <c r="Z104" s="136" t="inlineStr">
        <is>
          <t>西安市未央区北二环北路东段609号</t>
        </is>
      </c>
      <c r="AA104" s="136" t="inlineStr">
        <is>
          <t>西安市未央区北二环北路东段609号</t>
        </is>
      </c>
      <c r="AB104" s="136" t="n">
        <v>13772351298</v>
      </c>
      <c r="AC104" s="521" t="inlineStr">
        <is>
          <t>421125198909133058</t>
        </is>
      </c>
      <c r="AD104" s="136" t="inlineStr">
        <is>
          <t>章承龙6217853600011862983中国银行西安锦园支行</t>
        </is>
      </c>
      <c r="AF104" s="160" t="n"/>
    </row>
    <row r="105" customFormat="1" s="136">
      <c r="A105" s="136" t="inlineStr">
        <is>
          <t>第56个脱敏</t>
        </is>
      </c>
      <c r="B105" s="136" t="inlineStr">
        <is>
          <t>潘伟松</t>
        </is>
      </c>
      <c r="D105" s="136" t="inlineStr">
        <is>
          <t>短距驻场测试</t>
        </is>
      </c>
      <c r="E105" s="136" t="inlineStr">
        <is>
          <t>2022.03.28</t>
        </is>
      </c>
      <c r="F105" s="136" t="inlineStr">
        <is>
          <t>2022.06.27</t>
        </is>
      </c>
      <c r="G105" s="136" t="inlineStr">
        <is>
          <t>2022/5月</t>
        </is>
      </c>
      <c r="H105" s="136" t="inlineStr">
        <is>
          <t>南京</t>
        </is>
      </c>
      <c r="I105" s="136" t="inlineStr">
        <is>
          <t>南京</t>
        </is>
      </c>
      <c r="J105" s="136" t="n">
        <v>6000</v>
      </c>
      <c r="K105" s="136" t="n">
        <v>7500</v>
      </c>
      <c r="L105" s="136" t="n">
        <v>4250</v>
      </c>
      <c r="M105" s="136" t="n">
        <v>6000</v>
      </c>
      <c r="P105" s="136" t="inlineStr">
        <is>
          <t>文石50/月</t>
        </is>
      </c>
      <c r="Q105" s="136" t="n">
        <v>18</v>
      </c>
      <c r="R105" s="136" t="n">
        <v>12</v>
      </c>
      <c r="S105" s="136" t="n">
        <v>18</v>
      </c>
      <c r="T105" s="136" t="n">
        <v>3</v>
      </c>
      <c r="U105" s="136" t="n">
        <v>3</v>
      </c>
      <c r="V105" s="136" t="inlineStr">
        <is>
          <t xml:space="preserve">通信工程 </t>
        </is>
      </c>
      <c r="W105" s="140" t="n">
        <v>44377</v>
      </c>
      <c r="X105" s="136" t="inlineStr">
        <is>
          <t>本科</t>
        </is>
      </c>
      <c r="Y105" s="159" t="inlineStr">
        <is>
          <t>2848047704@qq.com</t>
        </is>
      </c>
      <c r="Z105" s="136" t="inlineStr">
        <is>
          <t>安徽省寿县陶店回族乡陶店街道第一组091号</t>
        </is>
      </c>
      <c r="AA105" s="136" t="inlineStr">
        <is>
          <t>安徽省寿县陶店回族乡陶店街道第一组091号</t>
        </is>
      </c>
      <c r="AB105" s="136" t="n">
        <v>13135463553</v>
      </c>
      <c r="AC105" s="521" t="inlineStr">
        <is>
          <t>342422200007283194</t>
        </is>
      </c>
      <c r="AD105" s="136" t="inlineStr">
        <is>
          <t>潘伟松建行'6214671370010603500</t>
        </is>
      </c>
      <c r="AE105" s="136" t="inlineStr">
        <is>
          <t>医保卡号：1892051113</t>
        </is>
      </c>
      <c r="AF105" s="160" t="n"/>
    </row>
    <row r="106" customFormat="1" s="136">
      <c r="A106" s="136" t="inlineStr">
        <is>
          <t>第57个脱敏</t>
        </is>
      </c>
      <c r="B106" s="136" t="inlineStr">
        <is>
          <t>张沈晖（杭州）（从未入职）</t>
        </is>
      </c>
      <c r="D106" s="136" t="inlineStr">
        <is>
          <t>嵌入式系统软件测试工程师</t>
        </is>
      </c>
      <c r="E106" s="140" t="n">
        <v>44657</v>
      </c>
      <c r="F106" s="140" t="n">
        <v>44747</v>
      </c>
      <c r="G106" s="136" t="inlineStr">
        <is>
          <t>2022/4月</t>
        </is>
      </c>
      <c r="H106" s="136" t="inlineStr">
        <is>
          <t>杭州</t>
        </is>
      </c>
      <c r="I106" s="136" t="inlineStr">
        <is>
          <t>杭州</t>
        </is>
      </c>
      <c r="J106" s="136" t="n">
        <v>8800</v>
      </c>
      <c r="K106" s="136" t="n">
        <v>11000</v>
      </c>
      <c r="L106" s="136" t="n">
        <v>3957</v>
      </c>
      <c r="M106" s="136" t="n">
        <v>2280</v>
      </c>
      <c r="P106" s="136" t="inlineStr">
        <is>
          <t>放弃入职</t>
        </is>
      </c>
      <c r="Q106" s="136" t="n">
        <v>18</v>
      </c>
      <c r="R106" s="136" t="n">
        <v>12</v>
      </c>
      <c r="S106" s="136" t="n">
        <v>18</v>
      </c>
      <c r="T106" s="136" t="n">
        <v>3</v>
      </c>
      <c r="U106" s="136" t="n">
        <v>3</v>
      </c>
      <c r="V106" s="136" t="inlineStr">
        <is>
          <t>电子信息工程</t>
        </is>
      </c>
      <c r="W106" s="140" t="n">
        <v>44369</v>
      </c>
      <c r="X106" s="136" t="inlineStr">
        <is>
          <t>本科</t>
        </is>
      </c>
      <c r="Y106" s="159" t="inlineStr">
        <is>
          <t>1030171899@qq.com</t>
        </is>
      </c>
      <c r="Z106" s="136" t="inlineStr">
        <is>
          <t>放弃入职</t>
        </is>
      </c>
      <c r="AA106" s="136" t="inlineStr">
        <is>
          <t>放弃入职</t>
        </is>
      </c>
      <c r="AB106" s="136" t="n">
        <v>13736857695</v>
      </c>
      <c r="AC106" s="521" t="inlineStr">
        <is>
          <t>330782199905070418</t>
        </is>
      </c>
      <c r="AD106" s="136" t="inlineStr">
        <is>
          <t>放弃入职</t>
        </is>
      </c>
      <c r="AF106" s="160" t="n"/>
    </row>
    <row r="107" customFormat="1" s="136">
      <c r="A107" s="136" t="inlineStr">
        <is>
          <t>第58个脱敏</t>
        </is>
      </c>
      <c r="B107" s="136" t="inlineStr">
        <is>
          <t>王一凡</t>
        </is>
      </c>
      <c r="D107" s="136" t="inlineStr">
        <is>
          <t>PM</t>
        </is>
      </c>
      <c r="E107" s="140" t="n">
        <v>44686</v>
      </c>
      <c r="F107" s="140" t="n">
        <v>44777</v>
      </c>
      <c r="G107" s="136" t="inlineStr">
        <is>
          <t>2022/5月</t>
        </is>
      </c>
      <c r="H107" s="136" t="inlineStr">
        <is>
          <t>南京</t>
        </is>
      </c>
      <c r="I107" s="136" t="inlineStr">
        <is>
          <t>南京</t>
        </is>
      </c>
      <c r="J107" s="136" t="n">
        <v>16000</v>
      </c>
      <c r="K107" s="136" t="n">
        <v>20000</v>
      </c>
      <c r="L107" s="136" t="n">
        <v>5000</v>
      </c>
      <c r="M107" s="136" t="n">
        <v>16000</v>
      </c>
      <c r="P107" s="136" t="inlineStr">
        <is>
          <t>文石50/月</t>
        </is>
      </c>
      <c r="Q107" s="136" t="n">
        <v>18</v>
      </c>
      <c r="R107" s="136" t="n">
        <v>12</v>
      </c>
      <c r="S107" s="136" t="n">
        <v>18</v>
      </c>
      <c r="T107" s="136" t="n">
        <v>3</v>
      </c>
      <c r="U107" s="136" t="n">
        <v>3</v>
      </c>
      <c r="V107" s="136" t="inlineStr">
        <is>
          <t>自动化</t>
        </is>
      </c>
      <c r="W107" s="140" t="n">
        <v>42185</v>
      </c>
      <c r="X107" s="136" t="inlineStr">
        <is>
          <t>本科</t>
        </is>
      </c>
      <c r="Y107" s="159" t="inlineStr">
        <is>
          <t>457326457@qq.com</t>
        </is>
      </c>
      <c r="Z107" s="136" t="inlineStr">
        <is>
          <t>湖北省黄梅县分路镇余桥村七组</t>
        </is>
      </c>
      <c r="AA107" s="136" t="inlineStr">
        <is>
          <t>湖北省黄梅县分路镇余桥村七组</t>
        </is>
      </c>
      <c r="AB107" s="136" t="n">
        <v>18502783581</v>
      </c>
      <c r="AC107" s="521" t="inlineStr">
        <is>
          <t>421127199202254750</t>
        </is>
      </c>
      <c r="AD107" s="136" t="inlineStr">
        <is>
          <t>王一凡 工商银行6217233202014142660湖北省自贸区试验区武汉片区分行营业室</t>
        </is>
      </c>
      <c r="AE107" s="136" t="inlineStr">
        <is>
          <t>注册过了江苏智慧人社APP 医保卡1893174889</t>
        </is>
      </c>
      <c r="AF107" s="160" t="n"/>
    </row>
    <row r="108" customFormat="1" s="136">
      <c r="A108" s="136" t="inlineStr">
        <is>
          <t>第59个脱敏</t>
        </is>
      </c>
      <c r="B108" s="136" t="inlineStr">
        <is>
          <t>朱翔</t>
        </is>
      </c>
      <c r="C108" s="136" t="inlineStr">
        <is>
          <t>公积金3201000482535384</t>
        </is>
      </c>
      <c r="D108" s="136" t="inlineStr">
        <is>
          <t>安卓开发工程师</t>
        </is>
      </c>
      <c r="E108" s="140" t="n">
        <v>44657</v>
      </c>
      <c r="F108" s="140" t="n">
        <v>44747</v>
      </c>
      <c r="G108" s="136" t="inlineStr">
        <is>
          <t>2022/4月</t>
        </is>
      </c>
      <c r="H108" s="136" t="inlineStr">
        <is>
          <t>南京</t>
        </is>
      </c>
      <c r="I108" s="136" t="inlineStr">
        <is>
          <t>南京</t>
        </is>
      </c>
      <c r="J108" s="136" t="n">
        <v>14000</v>
      </c>
      <c r="K108" s="136" t="n">
        <v>14000</v>
      </c>
      <c r="L108" s="136" t="n">
        <v>4250</v>
      </c>
      <c r="M108" s="136" t="n">
        <v>14000</v>
      </c>
      <c r="P108" s="136" t="inlineStr">
        <is>
          <t>文石50/月</t>
        </is>
      </c>
      <c r="Q108" s="136" t="n">
        <v>18</v>
      </c>
      <c r="R108" s="136" t="n">
        <v>12</v>
      </c>
      <c r="S108" s="136" t="n">
        <v>18</v>
      </c>
      <c r="T108" s="136" t="n">
        <v>3</v>
      </c>
      <c r="U108" s="136" t="n">
        <v>3</v>
      </c>
      <c r="V108" s="136" t="inlineStr">
        <is>
          <t>计算机科学与技术</t>
        </is>
      </c>
      <c r="W108" s="140" t="n">
        <v>43646</v>
      </c>
      <c r="X108" s="136" t="inlineStr">
        <is>
          <t>统招本科</t>
        </is>
      </c>
      <c r="Y108" s="159" t="inlineStr">
        <is>
          <t>854948458@qq.com</t>
        </is>
      </c>
      <c r="Z108" s="136" t="inlineStr">
        <is>
          <t>南京市雨花台区新湖大道8号金地自在城第六街区4幢2301室</t>
        </is>
      </c>
      <c r="AA108" s="136" t="inlineStr">
        <is>
          <t>南京市雨花台区新湖大道8号金地自在城第六街区4幢2301室</t>
        </is>
      </c>
      <c r="AB108" s="136" t="n">
        <v>17305266618</v>
      </c>
      <c r="AC108" s="521" t="inlineStr">
        <is>
          <t>320621199501317912</t>
        </is>
      </c>
      <c r="AD108" s="136" t="inlineStr">
        <is>
          <t>朱翔建行6236691270000061264</t>
        </is>
      </c>
      <c r="AE108" s="136" t="inlineStr">
        <is>
          <t>医保卡1886931671</t>
        </is>
      </c>
      <c r="AF108" s="160" t="n"/>
    </row>
    <row r="109" customFormat="1" s="136">
      <c r="A109" s="136" t="inlineStr">
        <is>
          <t>第60个脱敏</t>
        </is>
      </c>
      <c r="B109" s="136" t="inlineStr">
        <is>
          <t>杨继楠（放弃入职）</t>
        </is>
      </c>
      <c r="D109" s="136" t="inlineStr">
        <is>
          <t>底软驱动工程师</t>
        </is>
      </c>
      <c r="E109" s="140" t="n">
        <v>44691</v>
      </c>
      <c r="F109" s="140" t="n">
        <v>44782</v>
      </c>
      <c r="G109" s="136" t="inlineStr">
        <is>
          <t>2022/5月</t>
        </is>
      </c>
      <c r="H109" s="136" t="inlineStr">
        <is>
          <t>南京</t>
        </is>
      </c>
      <c r="I109" s="136" t="inlineStr">
        <is>
          <t>南京</t>
        </is>
      </c>
      <c r="J109" s="136" t="n">
        <v>26000</v>
      </c>
      <c r="K109" s="136" t="n">
        <v>26000</v>
      </c>
      <c r="L109" s="136" t="n">
        <v>5000</v>
      </c>
      <c r="M109" s="136" t="n">
        <v>16800</v>
      </c>
      <c r="P109" s="136" t="inlineStr">
        <is>
          <t>文石50/月</t>
        </is>
      </c>
      <c r="Q109" s="136" t="n">
        <v>18</v>
      </c>
      <c r="R109" s="136" t="n">
        <v>12</v>
      </c>
      <c r="S109" s="136" t="n">
        <v>18</v>
      </c>
      <c r="T109" s="136" t="n">
        <v>3</v>
      </c>
      <c r="U109" s="136" t="n">
        <v>3</v>
      </c>
      <c r="V109" s="136" t="inlineStr">
        <is>
          <t>移动通信技术</t>
        </is>
      </c>
      <c r="W109" s="140" t="n">
        <v>40725</v>
      </c>
      <c r="X109" s="136" t="inlineStr">
        <is>
          <t>统招专科</t>
        </is>
      </c>
      <c r="Y109" s="159" t="inlineStr">
        <is>
          <t>324186912@qq.com</t>
        </is>
      </c>
      <c r="Z109" s="136" t="inlineStr">
        <is>
          <t>放弃入职</t>
        </is>
      </c>
      <c r="AA109" s="136" t="inlineStr">
        <is>
          <t>放弃入职</t>
        </is>
      </c>
      <c r="AB109" s="136" t="n">
        <v>15261807167</v>
      </c>
      <c r="AC109" s="521" t="inlineStr">
        <is>
          <t>320111198911210419</t>
        </is>
      </c>
      <c r="AD109" s="136" t="inlineStr">
        <is>
          <t>/</t>
        </is>
      </c>
      <c r="AF109" s="160" t="n"/>
    </row>
    <row r="110" customFormat="1" s="136">
      <c r="A110" s="136" t="inlineStr">
        <is>
          <t>第61个脱敏</t>
        </is>
      </c>
      <c r="B110" s="136" t="inlineStr">
        <is>
          <t>章德</t>
        </is>
      </c>
      <c r="C110" s="136" t="inlineStr">
        <is>
          <t>公积金3201000567649281</t>
        </is>
      </c>
      <c r="D110" s="136" t="inlineStr">
        <is>
          <t>安卓开发工程师</t>
        </is>
      </c>
      <c r="E110" s="140" t="n">
        <v>44669</v>
      </c>
      <c r="F110" s="140" t="n">
        <v>44759</v>
      </c>
      <c r="G110" s="136" t="inlineStr">
        <is>
          <t>2022/5月</t>
        </is>
      </c>
      <c r="H110" s="136" t="inlineStr">
        <is>
          <t>南京</t>
        </is>
      </c>
      <c r="I110" s="136" t="inlineStr">
        <is>
          <t>南京</t>
        </is>
      </c>
      <c r="J110" s="136" t="n">
        <v>14400</v>
      </c>
      <c r="K110" s="136" t="n">
        <v>18000</v>
      </c>
      <c r="L110" s="136" t="n">
        <v>4250</v>
      </c>
      <c r="M110" s="136" t="inlineStr">
        <is>
          <t>14400*10%  1440</t>
        </is>
      </c>
      <c r="P110" s="136" t="inlineStr">
        <is>
          <t>文石50/月</t>
        </is>
      </c>
      <c r="Q110" s="136" t="n">
        <v>18</v>
      </c>
      <c r="R110" s="136" t="n">
        <v>12</v>
      </c>
      <c r="S110" s="136" t="n">
        <v>18</v>
      </c>
      <c r="T110" s="136" t="n">
        <v>3</v>
      </c>
      <c r="U110" s="136" t="n">
        <v>3</v>
      </c>
      <c r="V110" s="136" t="inlineStr">
        <is>
          <t>软件工程</t>
        </is>
      </c>
      <c r="W110" s="140" t="n">
        <v>44006</v>
      </c>
      <c r="X110" s="136" t="inlineStr">
        <is>
          <t>本科</t>
        </is>
      </c>
      <c r="Y110" s="159" t="inlineStr">
        <is>
          <t>1737239765@qq.com</t>
        </is>
      </c>
      <c r="Z110" s="136" t="inlineStr">
        <is>
          <t>江苏省沐阳县沐城镇长兴村青年组1335组</t>
        </is>
      </c>
      <c r="AA110" s="136" t="inlineStr">
        <is>
          <t>江苏省沐阳县沐城镇长兴村青年组1335组</t>
        </is>
      </c>
      <c r="AB110" s="136" t="n">
        <v>15150572530</v>
      </c>
      <c r="AC110" s="521" t="inlineStr">
        <is>
          <t>321322199801315637</t>
        </is>
      </c>
      <c r="AD110" s="136" t="inlineStr">
        <is>
          <t>章德建行6217001370054145156</t>
        </is>
      </c>
      <c r="AE110" s="136" t="inlineStr">
        <is>
          <t>医保卡1885936451</t>
        </is>
      </c>
      <c r="AF110" s="160" t="n"/>
    </row>
    <row r="111" customFormat="1" s="136">
      <c r="A111" s="136" t="inlineStr">
        <is>
          <t>第62个脱敏</t>
        </is>
      </c>
      <c r="B111" s="136" t="inlineStr">
        <is>
          <t>覃承群</t>
        </is>
      </c>
      <c r="C111" s="136" t="inlineStr">
        <is>
          <t>公积金3201000544830713</t>
        </is>
      </c>
      <c r="D111" s="136" t="inlineStr">
        <is>
          <t>android multimedia音视频开发工程师</t>
        </is>
      </c>
      <c r="E111" s="140" t="n">
        <v>44693</v>
      </c>
      <c r="F111" s="140" t="n">
        <v>44784</v>
      </c>
      <c r="G111" s="136" t="inlineStr">
        <is>
          <t>2022/6月</t>
        </is>
      </c>
      <c r="H111" s="136" t="inlineStr">
        <is>
          <t>南京</t>
        </is>
      </c>
      <c r="I111" s="136" t="inlineStr">
        <is>
          <t>南京</t>
        </is>
      </c>
      <c r="J111" s="136" t="n">
        <v>9600</v>
      </c>
      <c r="K111" s="136" t="n">
        <v>12000</v>
      </c>
      <c r="L111" s="136" t="n">
        <v>4250</v>
      </c>
      <c r="M111" s="136" t="inlineStr">
        <is>
          <t>9600*10%</t>
        </is>
      </c>
      <c r="P111" s="136" t="inlineStr">
        <is>
          <t>文石50/月</t>
        </is>
      </c>
      <c r="Q111" s="136" t="n">
        <v>18</v>
      </c>
      <c r="R111" s="136" t="n">
        <v>12</v>
      </c>
      <c r="S111" s="136" t="n">
        <v>18</v>
      </c>
      <c r="T111" s="136" t="n">
        <v>3</v>
      </c>
      <c r="U111" s="136" t="n">
        <v>3</v>
      </c>
      <c r="V111" s="136" t="inlineStr">
        <is>
          <t>电子信息工程</t>
        </is>
      </c>
      <c r="W111" s="140" t="n">
        <v>44376</v>
      </c>
      <c r="X111" s="136" t="inlineStr">
        <is>
          <t>本科</t>
        </is>
      </c>
      <c r="Y111" s="159" t="inlineStr">
        <is>
          <t>2564941113@qq.com</t>
        </is>
      </c>
      <c r="Z111" s="136" t="inlineStr">
        <is>
          <t>广西桂平市下湾镇新庄村大社屯136号</t>
        </is>
      </c>
      <c r="AA111" s="136" t="inlineStr">
        <is>
          <t>广西桂平市下湾镇新庄村大社屯136号</t>
        </is>
      </c>
      <c r="AB111" s="136" t="n">
        <v>15601582092</v>
      </c>
      <c r="AC111" s="521" t="inlineStr">
        <is>
          <t>450881199904306237</t>
        </is>
      </c>
      <c r="AD111" s="136" t="inlineStr">
        <is>
          <t>覃承群建行6217001370054264031</t>
        </is>
      </c>
      <c r="AE111" s="136" t="inlineStr">
        <is>
          <t>医保1886690081</t>
        </is>
      </c>
      <c r="AF111" s="160" t="n"/>
    </row>
    <row r="112" customFormat="1" s="136">
      <c r="A112" s="136" t="inlineStr">
        <is>
          <t>第63个脱敏</t>
        </is>
      </c>
      <c r="B112" s="136" t="inlineStr">
        <is>
          <t>郭丽蓓</t>
        </is>
      </c>
      <c r="C112" s="136" t="inlineStr">
        <is>
          <t>公积金3201000539108684</t>
        </is>
      </c>
      <c r="D112" s="136" t="inlineStr">
        <is>
          <t xml:space="preserve">BSP驱动-功耗 </t>
        </is>
      </c>
      <c r="E112" s="140" t="n">
        <v>44693</v>
      </c>
      <c r="F112" s="140" t="n">
        <v>44784</v>
      </c>
      <c r="G112" s="136" t="inlineStr">
        <is>
          <t>2022/６月</t>
        </is>
      </c>
      <c r="H112" s="136" t="inlineStr">
        <is>
          <t>南京</t>
        </is>
      </c>
      <c r="I112" s="136" t="inlineStr">
        <is>
          <t>南京</t>
        </is>
      </c>
      <c r="J112" s="136" t="n">
        <v>11200</v>
      </c>
      <c r="K112" s="136" t="n">
        <v>14000</v>
      </c>
      <c r="L112" s="136" t="n">
        <v>4250</v>
      </c>
      <c r="M112" s="136" t="n">
        <v>11200</v>
      </c>
      <c r="P112" s="136" t="inlineStr">
        <is>
          <t>文石50/月</t>
        </is>
      </c>
      <c r="Q112" s="136" t="n">
        <v>18</v>
      </c>
      <c r="R112" s="136" t="n">
        <v>12</v>
      </c>
      <c r="S112" s="136" t="n">
        <v>18</v>
      </c>
      <c r="T112" s="136" t="n">
        <v>3</v>
      </c>
      <c r="U112" s="136" t="n">
        <v>3</v>
      </c>
      <c r="V112" s="136" t="inlineStr">
        <is>
          <t xml:space="preserve">软件工程 </t>
        </is>
      </c>
      <c r="W112" s="140" t="n">
        <v>44368</v>
      </c>
      <c r="X112" s="136" t="inlineStr">
        <is>
          <t>本科</t>
        </is>
      </c>
      <c r="Y112" s="159" t="inlineStr">
        <is>
          <t>626972012@qq.com</t>
        </is>
      </c>
      <c r="Z112" s="136" t="inlineStr">
        <is>
          <t>南京市雨花台区春江新城升景坊28幢三单元605室</t>
        </is>
      </c>
      <c r="AA112" s="136" t="inlineStr">
        <is>
          <t>南京市雨花台区春江新城升景坊28幢三单元605室</t>
        </is>
      </c>
      <c r="AB112" s="136" t="n">
        <v>13382022587</v>
      </c>
      <c r="AC112" s="521" t="inlineStr">
        <is>
          <t>320106199908143626</t>
        </is>
      </c>
      <c r="AD112" s="136" t="inlineStr">
        <is>
          <t>郭丽蓓建行6217001370054263918</t>
        </is>
      </c>
      <c r="AE112" s="136" t="inlineStr">
        <is>
          <t>医保卡1884960367</t>
        </is>
      </c>
      <c r="AF112" s="160" t="n"/>
    </row>
    <row r="113" customFormat="1" s="136">
      <c r="A113" s="136" t="inlineStr">
        <is>
          <t>第64个脱敏</t>
        </is>
      </c>
      <c r="B113" s="136" t="inlineStr">
        <is>
          <t>杨康</t>
        </is>
      </c>
      <c r="C113" s="136" t="inlineStr">
        <is>
          <t>公积金3201000528819770</t>
        </is>
      </c>
      <c r="D113" s="136" t="inlineStr">
        <is>
          <t>IOS工程师</t>
        </is>
      </c>
      <c r="E113" s="140" t="n">
        <v>44700</v>
      </c>
      <c r="F113" s="140" t="n">
        <v>44791</v>
      </c>
      <c r="G113" s="136" t="inlineStr">
        <is>
          <t>６月</t>
        </is>
      </c>
      <c r="H113" s="136" t="inlineStr">
        <is>
          <t>南京</t>
        </is>
      </c>
      <c r="I113" s="136" t="inlineStr">
        <is>
          <t>南京</t>
        </is>
      </c>
      <c r="J113" s="136" t="n">
        <v>23000</v>
      </c>
      <c r="K113" s="136" t="n">
        <v>23000</v>
      </c>
      <c r="L113" s="136" t="n">
        <v>5000</v>
      </c>
      <c r="M113" s="136" t="n">
        <v>16800</v>
      </c>
      <c r="P113" s="136" t="inlineStr">
        <is>
          <t>文石50/月</t>
        </is>
      </c>
      <c r="Q113" s="136" t="n">
        <v>18</v>
      </c>
      <c r="R113" s="136" t="n">
        <v>12</v>
      </c>
      <c r="S113" s="136" t="n">
        <v>18</v>
      </c>
      <c r="T113" s="136" t="n">
        <v>3</v>
      </c>
      <c r="U113" s="136" t="n">
        <v>3</v>
      </c>
      <c r="V113" s="136" t="inlineStr">
        <is>
          <t>地质工程</t>
        </is>
      </c>
      <c r="W113" s="140" t="n">
        <v>42186</v>
      </c>
      <c r="X113" s="136" t="inlineStr">
        <is>
          <t>本科</t>
        </is>
      </c>
      <c r="Y113" s="159" t="inlineStr">
        <is>
          <t>2842928569@qq.com</t>
        </is>
      </c>
      <c r="Z113" s="136" t="inlineStr">
        <is>
          <t>安徽省芜湖市芜湖县六郎镇周西行政村斗门自然村36-1号</t>
        </is>
      </c>
      <c r="AA113" s="136" t="inlineStr">
        <is>
          <t>安徽省芜湖市芜湖县六郎镇周西行政村斗门自然村36-1号</t>
        </is>
      </c>
      <c r="AB113" s="136" t="n">
        <v>17730339393</v>
      </c>
      <c r="AC113" s="136" t="inlineStr">
        <is>
          <t>‘340221199307108211</t>
        </is>
      </c>
      <c r="AD113" s="136" t="inlineStr">
        <is>
          <t>杨康建行6217001650015854933</t>
        </is>
      </c>
      <c r="AE113" s="136" t="inlineStr">
        <is>
          <t>医保卡1891334091</t>
        </is>
      </c>
      <c r="AF113" s="160" t="n"/>
    </row>
    <row r="114" customFormat="1" s="136">
      <c r="A114" s="136" t="inlineStr">
        <is>
          <t>第65个脱敏</t>
        </is>
      </c>
      <c r="B114" s="136" t="inlineStr">
        <is>
          <t>郑凯-可能放弃</t>
        </is>
      </c>
      <c r="C114" s="136" t="inlineStr">
        <is>
          <t>可能放弃</t>
        </is>
      </c>
      <c r="D114" s="136" t="inlineStr">
        <is>
          <t>嵌入式系统软件测试工程师</t>
        </is>
      </c>
      <c r="E114" s="140" t="n">
        <v>44704</v>
      </c>
      <c r="F114" s="140" t="n">
        <v>44795</v>
      </c>
      <c r="G114" s="136" t="inlineStr">
        <is>
          <t>2022/6月</t>
        </is>
      </c>
      <c r="H114" s="136" t="inlineStr">
        <is>
          <t>南京</t>
        </is>
      </c>
      <c r="I114" s="136" t="inlineStr">
        <is>
          <t>南京</t>
        </is>
      </c>
      <c r="J114" s="136" t="n">
        <v>16800</v>
      </c>
      <c r="K114" s="136" t="n">
        <v>21000</v>
      </c>
      <c r="L114" s="136" t="n">
        <v>3957</v>
      </c>
      <c r="M114" s="136" t="inlineStr">
        <is>
          <t>2280（10%）</t>
        </is>
      </c>
      <c r="P114" s="136" t="inlineStr">
        <is>
          <t>文石50/月</t>
        </is>
      </c>
      <c r="Q114" s="136" t="n">
        <v>18</v>
      </c>
      <c r="R114" s="136" t="n">
        <v>12</v>
      </c>
      <c r="S114" s="136" t="n">
        <v>18</v>
      </c>
      <c r="T114" s="136" t="n">
        <v>3</v>
      </c>
      <c r="U114" s="136" t="n">
        <v>3</v>
      </c>
      <c r="V114" s="136" t="inlineStr">
        <is>
          <t>电子信息科学与技术</t>
        </is>
      </c>
      <c r="W114" s="140" t="n">
        <v>43647</v>
      </c>
      <c r="X114" s="136" t="inlineStr">
        <is>
          <t>统招本科</t>
        </is>
      </c>
      <c r="Y114" s="159" t="inlineStr">
        <is>
          <t>acaesar001@qq.com</t>
        </is>
      </c>
      <c r="Z114" s="136" t="inlineStr">
        <is>
          <t>可能放弃</t>
        </is>
      </c>
      <c r="AA114" s="136" t="inlineStr">
        <is>
          <t>可能放弃</t>
        </is>
      </c>
      <c r="AB114" s="136" t="n">
        <v>15557055180</v>
      </c>
      <c r="AC114" s="521" t="inlineStr">
        <is>
          <t>500233199605217753</t>
        </is>
      </c>
      <c r="AD114" s="136" t="inlineStr">
        <is>
          <t>可能放弃</t>
        </is>
      </c>
      <c r="AE114" s="136" t="inlineStr">
        <is>
          <t>可能放弃</t>
        </is>
      </c>
      <c r="AF114" s="160" t="n"/>
    </row>
    <row r="115" customFormat="1" s="136">
      <c r="A115" s="136" t="inlineStr">
        <is>
          <t>第66个脱敏</t>
        </is>
      </c>
      <c r="B115" s="136" t="inlineStr">
        <is>
          <t>刘新宇</t>
        </is>
      </c>
      <c r="C115" s="136" t="inlineStr">
        <is>
          <t>公积金3201000569358707</t>
        </is>
      </c>
      <c r="D115" s="136" t="inlineStr">
        <is>
          <t>Camera-Tuning</t>
        </is>
      </c>
      <c r="E115" s="140" t="n">
        <v>44725</v>
      </c>
      <c r="F115" s="140" t="n">
        <v>44816</v>
      </c>
      <c r="G115" s="136" t="inlineStr">
        <is>
          <t>2022/6月</t>
        </is>
      </c>
      <c r="H115" s="136" t="inlineStr">
        <is>
          <t>南京</t>
        </is>
      </c>
      <c r="I115" s="136" t="inlineStr">
        <is>
          <t>南京</t>
        </is>
      </c>
      <c r="J115" s="136" t="n">
        <v>15200</v>
      </c>
      <c r="K115" s="136" t="n">
        <v>19000</v>
      </c>
      <c r="L115" s="136" t="n">
        <v>5000</v>
      </c>
      <c r="M115" s="136" t="n">
        <v>15200</v>
      </c>
      <c r="P115" s="136" t="inlineStr">
        <is>
          <t>文石50/月</t>
        </is>
      </c>
      <c r="Q115" s="136" t="n">
        <v>18</v>
      </c>
      <c r="R115" s="136" t="n">
        <v>12</v>
      </c>
      <c r="S115" s="136" t="n">
        <v>18</v>
      </c>
      <c r="T115" s="136" t="n">
        <v>3</v>
      </c>
      <c r="U115" s="136" t="n">
        <v>3</v>
      </c>
      <c r="V115" s="136" t="inlineStr">
        <is>
          <t>电子信息工程</t>
        </is>
      </c>
      <c r="W115" s="140" t="n">
        <v>44013</v>
      </c>
      <c r="X115" s="136" t="inlineStr">
        <is>
          <t>统招本科</t>
        </is>
      </c>
      <c r="Y115" s="159" t="inlineStr">
        <is>
          <t>1691022294@qq.com</t>
        </is>
      </c>
      <c r="Z115" s="136" t="inlineStr">
        <is>
          <t>安徽省凤台县毛集镇刘岗村十队546-1号</t>
        </is>
      </c>
      <c r="AA115" s="136" t="inlineStr">
        <is>
          <t>安徽省凤台县毛集镇刘岗村十队546-1号</t>
        </is>
      </c>
      <c r="AB115" s="136" t="n">
        <v>17730197181</v>
      </c>
      <c r="AC115" s="521" t="inlineStr">
        <is>
          <t>340421199807034010</t>
        </is>
      </c>
      <c r="AD115" s="136" t="inlineStr">
        <is>
          <t>刘新宇6217001180044271644</t>
        </is>
      </c>
      <c r="AE115" s="136" t="inlineStr">
        <is>
          <t>6月开始缴纳 之前没缴纳过 已缴</t>
        </is>
      </c>
      <c r="AF115" s="160" t="inlineStr">
        <is>
          <t>1893300347医保卡</t>
        </is>
      </c>
    </row>
    <row r="116" customFormat="1" s="136">
      <c r="A116" s="136" t="inlineStr">
        <is>
          <t>第67个脱敏</t>
        </is>
      </c>
      <c r="B116" s="136" t="inlineStr">
        <is>
          <t>赵宣</t>
        </is>
      </c>
      <c r="D116" s="136" t="inlineStr">
        <is>
          <t>嵌入式系统软件测试工程师</t>
        </is>
      </c>
      <c r="E116" s="140" t="n">
        <v>44706</v>
      </c>
      <c r="F116" s="140" t="n">
        <v>44797</v>
      </c>
      <c r="G116" s="136" t="inlineStr">
        <is>
          <t>2022/6月</t>
        </is>
      </c>
      <c r="H116" s="136" t="inlineStr">
        <is>
          <t>南京</t>
        </is>
      </c>
      <c r="I116" s="136" t="inlineStr">
        <is>
          <t>南京</t>
        </is>
      </c>
      <c r="J116" s="136" t="n">
        <v>16800</v>
      </c>
      <c r="K116" s="136" t="n">
        <v>21000</v>
      </c>
      <c r="L116" s="136" t="n">
        <v>3957</v>
      </c>
      <c r="M116" s="136" t="inlineStr">
        <is>
          <t>2280（10%）</t>
        </is>
      </c>
      <c r="P116" s="136" t="inlineStr">
        <is>
          <t>文石50/月</t>
        </is>
      </c>
      <c r="Q116" s="136" t="n">
        <v>18</v>
      </c>
      <c r="R116" s="136" t="n">
        <v>12</v>
      </c>
      <c r="S116" s="136" t="n">
        <v>18</v>
      </c>
      <c r="T116" s="136" t="n">
        <v>3</v>
      </c>
      <c r="U116" s="136" t="n">
        <v>3</v>
      </c>
      <c r="V116" s="136" t="inlineStr">
        <is>
          <t>计算机科学与技术</t>
        </is>
      </c>
      <c r="W116" s="140" t="n">
        <v>41830</v>
      </c>
      <c r="X116" s="136" t="inlineStr">
        <is>
          <t>统招本科</t>
        </is>
      </c>
      <c r="Y116" s="159" t="inlineStr">
        <is>
          <t>zx229091983@126.com</t>
        </is>
      </c>
      <c r="Z116" s="136" t="inlineStr">
        <is>
          <t>安徽省宿州市灵璧县朝阳镇大赵村八组</t>
        </is>
      </c>
      <c r="AA116" s="136" t="inlineStr">
        <is>
          <t>安徽省宿州市灵璧县朝阳镇大赵村八组</t>
        </is>
      </c>
      <c r="AB116" s="136" t="n">
        <v>15142458487</v>
      </c>
      <c r="AC116" s="521" t="inlineStr">
        <is>
          <t>342224199104191239</t>
        </is>
      </c>
      <c r="AD116" s="136" t="inlineStr">
        <is>
          <t>赵宣建行6217001540029557715</t>
        </is>
      </c>
      <c r="AF116" s="160" t="n"/>
    </row>
    <row r="117" customFormat="1" s="136">
      <c r="A117" s="136" t="inlineStr">
        <is>
          <t>第68个脱敏</t>
        </is>
      </c>
      <c r="B117" s="136" t="inlineStr">
        <is>
          <t>谷天乐</t>
        </is>
      </c>
      <c r="D117" s="136" t="inlineStr">
        <is>
          <t>Android开发工程师</t>
        </is>
      </c>
      <c r="E117" s="140" t="n">
        <v>44706</v>
      </c>
      <c r="F117" s="140" t="n">
        <v>44797</v>
      </c>
      <c r="G117" s="136" t="inlineStr">
        <is>
          <t>2022/6月</t>
        </is>
      </c>
      <c r="H117" s="136" t="inlineStr">
        <is>
          <t>南京</t>
        </is>
      </c>
      <c r="I117" s="136" t="inlineStr">
        <is>
          <t>南京</t>
        </is>
      </c>
      <c r="J117" s="136" t="n">
        <v>17600</v>
      </c>
      <c r="K117" s="136" t="n">
        <v>22000</v>
      </c>
      <c r="L117" s="136" t="n">
        <v>4250</v>
      </c>
      <c r="M117" s="136" t="n">
        <v>3000</v>
      </c>
      <c r="P117" s="136" t="inlineStr">
        <is>
          <t>文石50/月</t>
        </is>
      </c>
      <c r="Q117" s="136" t="n">
        <v>18</v>
      </c>
      <c r="R117" s="136" t="n">
        <v>12</v>
      </c>
      <c r="S117" s="136" t="n">
        <v>18</v>
      </c>
      <c r="T117" s="136" t="n">
        <v>3</v>
      </c>
      <c r="U117" s="136" t="n">
        <v>3</v>
      </c>
      <c r="V117" s="136" t="inlineStr">
        <is>
          <t>/</t>
        </is>
      </c>
      <c r="W117" s="140" t="n">
        <v>42581</v>
      </c>
      <c r="X117" s="136" t="inlineStr">
        <is>
          <t>河北科技学院</t>
        </is>
      </c>
      <c r="Y117" s="159" t="inlineStr">
        <is>
          <t>Gutl0814@163.com</t>
        </is>
      </c>
      <c r="Z117" s="136" t="inlineStr">
        <is>
          <t>/</t>
        </is>
      </c>
      <c r="AA117" s="136" t="inlineStr">
        <is>
          <t>/</t>
        </is>
      </c>
      <c r="AB117" s="136" t="n">
        <v>13581927242</v>
      </c>
      <c r="AC117" s="136" t="inlineStr">
        <is>
          <t>,131025200009113313</t>
        </is>
      </c>
      <c r="AD117" s="136" t="inlineStr">
        <is>
          <t>/</t>
        </is>
      </c>
      <c r="AF117" s="160" t="n"/>
    </row>
    <row r="118" customFormat="1" s="136">
      <c r="A118" s="136" t="inlineStr">
        <is>
          <t>第69个脱敏</t>
        </is>
      </c>
      <c r="B118" s="136" t="inlineStr">
        <is>
          <t>方振</t>
        </is>
      </c>
      <c r="D118" s="136" t="inlineStr">
        <is>
          <t>嵌入式系统软件测试工程师</t>
        </is>
      </c>
      <c r="E118" s="140" t="n">
        <v>44690</v>
      </c>
      <c r="F118" s="140" t="n">
        <v>44781</v>
      </c>
      <c r="G118" s="136" t="inlineStr">
        <is>
          <t>2022/5月</t>
        </is>
      </c>
      <c r="H118" s="136" t="inlineStr">
        <is>
          <t>杭州</t>
        </is>
      </c>
      <c r="I118" s="136" t="inlineStr">
        <is>
          <t>杭州</t>
        </is>
      </c>
      <c r="J118" s="136" t="n">
        <v>15200</v>
      </c>
      <c r="K118" s="136" t="n">
        <v>19000</v>
      </c>
      <c r="L118" s="136" t="n">
        <v>3957</v>
      </c>
      <c r="M118" s="136" t="n">
        <v>2280</v>
      </c>
      <c r="P118" s="136" t="inlineStr">
        <is>
          <t>嘉创网站120/月 收中科80/月</t>
        </is>
      </c>
      <c r="Q118" s="136" t="n">
        <v>18</v>
      </c>
      <c r="R118" s="136" t="n">
        <v>12</v>
      </c>
      <c r="S118" s="136" t="n">
        <v>18</v>
      </c>
      <c r="T118" s="136" t="n">
        <v>3</v>
      </c>
      <c r="U118" s="136" t="n">
        <v>3</v>
      </c>
      <c r="V118" s="136" t="inlineStr">
        <is>
          <t>/</t>
        </is>
      </c>
      <c r="W118" s="140" t="n">
        <v>43635</v>
      </c>
      <c r="X118" s="136" t="inlineStr">
        <is>
          <t>本科</t>
        </is>
      </c>
      <c r="Y118" s="159" t="inlineStr">
        <is>
          <t>18855442781@163.com</t>
        </is>
      </c>
      <c r="Z118" s="136" t="inlineStr">
        <is>
          <t>安徽省芜湖市南陵县家发镇麻桥村西山组18号</t>
        </is>
      </c>
      <c r="AA118" s="136" t="inlineStr">
        <is>
          <t>安徽省芜湖市南陵县家发镇麻桥村西山组18号</t>
        </is>
      </c>
      <c r="AB118" s="136" t="n">
        <v>18855442781</v>
      </c>
      <c r="AC118" s="521" t="inlineStr">
        <is>
          <t xml:space="preserve"> 340223199610098418</t>
        </is>
      </c>
      <c r="AD118" s="136" t="inlineStr">
        <is>
          <t>招商银行:杭州市拱墅区湖墅支行 6214 8361 4399 1145</t>
        </is>
      </c>
      <c r="AF118" s="160" t="n"/>
    </row>
    <row r="119" customFormat="1" s="136">
      <c r="A119" s="136" t="inlineStr">
        <is>
          <t>第70个脱敏</t>
        </is>
      </c>
      <c r="B119" s="136" t="inlineStr">
        <is>
          <t>孙明</t>
        </is>
      </c>
      <c r="C119" s="136" t="inlineStr">
        <is>
          <t>公积金3201000436248178医保卡1887071607</t>
        </is>
      </c>
      <c r="D119" s="136" t="inlineStr">
        <is>
          <t>安卓系统应用工程师</t>
        </is>
      </c>
      <c r="E119" s="136" t="inlineStr">
        <is>
          <t>2022.06.13</t>
        </is>
      </c>
      <c r="F119" s="136" t="inlineStr">
        <is>
          <t>2022.09.12</t>
        </is>
      </c>
      <c r="G119" s="136" t="inlineStr">
        <is>
          <t>2022/7月 6月社保交了公积金没有</t>
        </is>
      </c>
      <c r="H119" s="136" t="inlineStr">
        <is>
          <t>南京</t>
        </is>
      </c>
      <c r="I119" s="136" t="inlineStr">
        <is>
          <t>南京</t>
        </is>
      </c>
      <c r="J119" s="136" t="n">
        <v>17600</v>
      </c>
      <c r="K119" s="136" t="n">
        <v>22000</v>
      </c>
      <c r="L119" s="136" t="n">
        <v>5000</v>
      </c>
      <c r="M119" s="136" t="n">
        <v>16800</v>
      </c>
      <c r="P119" s="136" t="inlineStr">
        <is>
          <t>文石50/月</t>
        </is>
      </c>
      <c r="Q119" s="136" t="n">
        <v>18</v>
      </c>
      <c r="R119" s="136" t="n">
        <v>12</v>
      </c>
      <c r="S119" s="136" t="n">
        <v>18</v>
      </c>
      <c r="T119" s="136" t="n">
        <v>3</v>
      </c>
      <c r="U119" s="136" t="n">
        <v>3</v>
      </c>
      <c r="V119" s="136" t="inlineStr">
        <is>
          <t>重庆邮电大学</t>
        </is>
      </c>
      <c r="W119" s="140" t="n">
        <v>42541</v>
      </c>
      <c r="X119" s="136" t="inlineStr">
        <is>
          <t>本科</t>
        </is>
      </c>
      <c r="Y119" s="159" t="inlineStr">
        <is>
          <t>2207916715@qq.com</t>
        </is>
      </c>
      <c r="Z119" s="136" t="inlineStr">
        <is>
          <t>南京市高淳区阳江镇永丰村三桥梗123号</t>
        </is>
      </c>
      <c r="AA119" s="136" t="inlineStr">
        <is>
          <t>南京市高淳区阳江镇永丰村三桥梗123号</t>
        </is>
      </c>
      <c r="AB119" s="136" t="n">
        <v>18951831613</v>
      </c>
      <c r="AC119" s="136" t="inlineStr">
        <is>
          <t xml:space="preserve">/320125199409301713 </t>
        </is>
      </c>
      <c r="AD119" s="136" t="inlineStr">
        <is>
          <t>孙明建行6217001210078004361</t>
        </is>
      </c>
      <c r="AF119" s="160" t="n"/>
    </row>
    <row r="120" customFormat="1" s="136">
      <c r="A120" s="136" t="inlineStr">
        <is>
          <t>第71个脱敏</t>
        </is>
      </c>
      <c r="B120" s="136" t="inlineStr">
        <is>
          <t>刘新宇</t>
        </is>
      </c>
      <c r="C120" s="136" t="inlineStr">
        <is>
          <t>医保卡1893300347</t>
        </is>
      </c>
      <c r="D120" s="136" t="inlineStr">
        <is>
          <t>Camera-Tuning</t>
        </is>
      </c>
      <c r="E120" s="140" t="n">
        <v>44725</v>
      </c>
      <c r="F120" s="140" t="n">
        <v>44816</v>
      </c>
      <c r="G120" s="136" t="inlineStr">
        <is>
          <t>2022/6月</t>
        </is>
      </c>
      <c r="H120" s="136" t="inlineStr">
        <is>
          <t>南京</t>
        </is>
      </c>
      <c r="I120" s="136" t="inlineStr">
        <is>
          <t>南京</t>
        </is>
      </c>
      <c r="J120" s="136" t="n">
        <v>15200</v>
      </c>
      <c r="K120" s="136" t="n">
        <v>19000</v>
      </c>
      <c r="L120" s="136" t="n">
        <v>5000</v>
      </c>
      <c r="M120" s="136" t="n">
        <v>15200</v>
      </c>
      <c r="P120" s="136" t="inlineStr">
        <is>
          <t>文石50/月</t>
        </is>
      </c>
      <c r="Q120" s="136" t="n">
        <v>18</v>
      </c>
      <c r="R120" s="136" t="n">
        <v>12</v>
      </c>
      <c r="S120" s="136" t="n">
        <v>18</v>
      </c>
      <c r="T120" s="136" t="n">
        <v>3</v>
      </c>
      <c r="U120" s="136" t="n">
        <v>3</v>
      </c>
      <c r="V120" s="136" t="inlineStr">
        <is>
          <t>电子信息工程</t>
        </is>
      </c>
      <c r="W120" s="140" t="n">
        <v>44013</v>
      </c>
      <c r="X120" s="136" t="inlineStr">
        <is>
          <t>统招本科</t>
        </is>
      </c>
      <c r="Y120" s="136" t="inlineStr">
        <is>
          <t>1691022294@qq.com</t>
        </is>
      </c>
      <c r="Z120" s="136" t="inlineStr">
        <is>
          <t>安徽省凤台县毛集镇刘岗村十队546-1号</t>
        </is>
      </c>
      <c r="AA120" s="136" t="inlineStr">
        <is>
          <t>安徽省凤台县毛集镇刘岗村十队546-1号</t>
        </is>
      </c>
      <c r="AB120" s="136" t="n">
        <v>17730197181</v>
      </c>
      <c r="AC120" s="136" t="inlineStr">
        <is>
          <t>,340421199807034010</t>
        </is>
      </c>
      <c r="AD120" s="136" t="inlineStr">
        <is>
          <t>刘新宇建行6217001180044271644</t>
        </is>
      </c>
      <c r="AF120" s="160" t="n"/>
    </row>
    <row r="121" customFormat="1" s="136">
      <c r="A121" s="136" t="inlineStr">
        <is>
          <t>第72个脱敏</t>
        </is>
      </c>
      <c r="B121" s="136" t="inlineStr">
        <is>
          <t>唐志伟</t>
        </is>
      </c>
      <c r="C121" s="136" t="inlineStr">
        <is>
          <t>公积金3201000421837566</t>
        </is>
      </c>
      <c r="D121" s="136" t="inlineStr">
        <is>
          <t>应用软件工程师</t>
        </is>
      </c>
      <c r="E121" s="136" t="inlineStr">
        <is>
          <t>2022.6.27</t>
        </is>
      </c>
      <c r="F121" s="136" t="inlineStr">
        <is>
          <t>2022.9.27</t>
        </is>
      </c>
      <c r="G121" s="136" t="inlineStr">
        <is>
          <t>2022/7月</t>
        </is>
      </c>
      <c r="H121" s="136" t="inlineStr">
        <is>
          <t>南京</t>
        </is>
      </c>
      <c r="I121" s="136" t="inlineStr">
        <is>
          <t>南京</t>
        </is>
      </c>
      <c r="J121" s="136" t="n">
        <v>16800</v>
      </c>
      <c r="K121" s="136" t="n">
        <v>21000</v>
      </c>
      <c r="L121" s="136" t="n">
        <v>4250</v>
      </c>
      <c r="M121" s="136" t="inlineStr">
        <is>
          <t>2280（10%）</t>
        </is>
      </c>
      <c r="P121" s="136" t="inlineStr">
        <is>
          <t>文石50/月</t>
        </is>
      </c>
      <c r="Q121" s="136" t="n">
        <v>0</v>
      </c>
      <c r="R121" s="136" t="n">
        <v>0</v>
      </c>
      <c r="S121" s="136" t="n">
        <v>18</v>
      </c>
      <c r="T121" s="136" t="n">
        <v>3</v>
      </c>
      <c r="U121" s="136" t="n">
        <v>3</v>
      </c>
      <c r="V121" s="136" t="inlineStr">
        <is>
          <t>湖南工程学院</t>
        </is>
      </c>
      <c r="W121" s="140" t="n">
        <v>42551</v>
      </c>
      <c r="X121" s="136" t="inlineStr">
        <is>
          <t>全日制本科</t>
        </is>
      </c>
      <c r="Y121" s="136" t="inlineStr">
        <is>
          <t>17314872817@163.com</t>
        </is>
      </c>
      <c r="Z121" s="136" t="inlineStr">
        <is>
          <t>湖南省蓝山县正市乡朋佳村9组</t>
        </is>
      </c>
      <c r="AA121" s="136" t="inlineStr">
        <is>
          <t>湖南省蓝山县正市乡朋佳村9组</t>
        </is>
      </c>
      <c r="AB121" s="136" t="n">
        <v>17314872817</v>
      </c>
      <c r="AC121" s="136" t="inlineStr">
        <is>
          <t>。431127199204202817</t>
        </is>
      </c>
      <c r="AD121" s="136" t="inlineStr">
        <is>
          <t>唐志伟 建行6217001370054391628</t>
        </is>
      </c>
      <c r="AE121" s="136" t="inlineStr">
        <is>
          <t>医保卡1886983288</t>
        </is>
      </c>
      <c r="AF121" s="160" t="n"/>
    </row>
    <row r="122" customFormat="1" s="136">
      <c r="A122" s="136" t="inlineStr">
        <is>
          <t>第73个脱敏</t>
        </is>
      </c>
      <c r="B122" s="136" t="inlineStr">
        <is>
          <t>邱飞</t>
        </is>
      </c>
      <c r="C122" s="136" t="inlineStr">
        <is>
          <t>公积金3201000424676542</t>
        </is>
      </c>
      <c r="D122" s="136" t="inlineStr">
        <is>
          <t>项目经理</t>
        </is>
      </c>
      <c r="E122" s="140" t="n">
        <v>44739</v>
      </c>
      <c r="F122" s="136" t="inlineStr">
        <is>
          <t>2022.9.27</t>
        </is>
      </c>
      <c r="G122" s="136" t="inlineStr">
        <is>
          <t>2022/7月</t>
        </is>
      </c>
      <c r="H122" s="136" t="inlineStr">
        <is>
          <t>南京</t>
        </is>
      </c>
      <c r="I122" s="136" t="inlineStr">
        <is>
          <t>南京</t>
        </is>
      </c>
      <c r="J122" s="136" t="n">
        <v>24000</v>
      </c>
      <c r="K122" s="136" t="n">
        <v>24000</v>
      </c>
      <c r="L122" s="136" t="n">
        <v>5000</v>
      </c>
      <c r="M122" s="136" t="inlineStr">
        <is>
          <t>16800 10%</t>
        </is>
      </c>
      <c r="P122" s="136" t="inlineStr">
        <is>
          <t>文石50/月</t>
        </is>
      </c>
      <c r="Q122" s="136" t="n">
        <v>18</v>
      </c>
      <c r="R122" s="136" t="n">
        <v>18</v>
      </c>
      <c r="S122" s="136" t="n">
        <v>18</v>
      </c>
      <c r="T122" s="136" t="n">
        <v>3</v>
      </c>
      <c r="U122" s="136" t="n">
        <v>3</v>
      </c>
      <c r="V122" s="136" t="inlineStr">
        <is>
          <t>江苏大学</t>
        </is>
      </c>
      <c r="W122" s="140" t="n">
        <v>41820</v>
      </c>
      <c r="X122" s="136" t="inlineStr">
        <is>
          <t>全日制本科</t>
        </is>
      </c>
      <c r="Y122" s="136" t="inlineStr">
        <is>
          <t>570630812@qq.com</t>
        </is>
      </c>
      <c r="Z122" s="136" t="inlineStr">
        <is>
          <t>江苏省灌云县杨集镇新庄村大毛圩5号</t>
        </is>
      </c>
      <c r="AA122" s="136" t="inlineStr">
        <is>
          <t>江苏省灌云县杨集镇新庄村大毛圩5号</t>
        </is>
      </c>
      <c r="AB122" s="136" t="n">
        <v>18651704660</v>
      </c>
      <c r="AC122" s="136" t="inlineStr">
        <is>
          <t>,320723199004033730</t>
        </is>
      </c>
      <c r="AD122" s="136" t="inlineStr">
        <is>
          <t>邱飞招商银行6214855495229243</t>
        </is>
      </c>
      <c r="AE122" s="136" t="inlineStr">
        <is>
          <t>医保1887059508</t>
        </is>
      </c>
      <c r="AF122" s="160" t="n"/>
    </row>
    <row r="123" customFormat="1" s="136">
      <c r="A123" s="136" t="inlineStr">
        <is>
          <t>第74个脱敏</t>
        </is>
      </c>
      <c r="B123" s="136" t="inlineStr">
        <is>
          <t>黄承纲</t>
        </is>
      </c>
      <c r="C123" s="136" t="inlineStr">
        <is>
          <t>公积金3201000329454769</t>
        </is>
      </c>
      <c r="D123" s="136" t="inlineStr">
        <is>
          <t>应用软件工程师</t>
        </is>
      </c>
      <c r="E123" s="136" t="inlineStr">
        <is>
          <t>2022.6.29</t>
        </is>
      </c>
      <c r="F123" s="136" t="inlineStr">
        <is>
          <t>2022.9.28</t>
        </is>
      </c>
      <c r="G123" s="136" t="inlineStr">
        <is>
          <t>2022/7月</t>
        </is>
      </c>
      <c r="H123" s="136" t="inlineStr">
        <is>
          <t>南京</t>
        </is>
      </c>
      <c r="I123" s="136" t="inlineStr">
        <is>
          <t>南京</t>
        </is>
      </c>
      <c r="J123" s="136" t="n">
        <v>24000</v>
      </c>
      <c r="K123" s="136" t="n">
        <v>30000</v>
      </c>
      <c r="L123" s="136" t="n">
        <v>4250</v>
      </c>
      <c r="M123" s="136" t="inlineStr">
        <is>
          <t>2280（10%）</t>
        </is>
      </c>
      <c r="P123" s="136" t="inlineStr">
        <is>
          <t>文石50/月</t>
        </is>
      </c>
      <c r="Q123" s="136" t="n">
        <v>0</v>
      </c>
      <c r="R123" s="136" t="n">
        <v>0</v>
      </c>
      <c r="S123" s="136" t="n">
        <v>18</v>
      </c>
      <c r="T123" s="136" t="n">
        <v>3</v>
      </c>
      <c r="U123" s="136" t="n">
        <v>3</v>
      </c>
      <c r="V123" s="136" t="inlineStr">
        <is>
          <t>全日制本科</t>
        </is>
      </c>
      <c r="W123" s="140" t="n">
        <v>40725</v>
      </c>
      <c r="X123" s="140" t="inlineStr">
        <is>
          <t>全日制本科</t>
        </is>
      </c>
      <c r="Y123" s="136" t="inlineStr">
        <is>
          <t>huangchenggang86@163.com</t>
        </is>
      </c>
      <c r="Z123" s="136" t="inlineStr">
        <is>
          <t>南京市雨花台区雨花大道9002号</t>
        </is>
      </c>
      <c r="AA123" s="136" t="inlineStr">
        <is>
          <t>南京市雨花台区雨花大道9002号</t>
        </is>
      </c>
      <c r="AB123" s="136" t="n">
        <v>15651935782</v>
      </c>
      <c r="AC123" s="521" t="inlineStr">
        <is>
          <t>340822198809183718</t>
        </is>
      </c>
      <c r="AD123" s="136" t="inlineStr">
        <is>
          <t>黄承纲建行6217001370023523301</t>
        </is>
      </c>
      <c r="AE123" s="136" t="inlineStr">
        <is>
          <t>医保1883709608</t>
        </is>
      </c>
      <c r="AF123" s="160" t="n"/>
    </row>
    <row r="124" customFormat="1" s="136">
      <c r="A124" s="136" t="inlineStr">
        <is>
          <t>第75个脱敏</t>
        </is>
      </c>
      <c r="B124" s="136" t="inlineStr">
        <is>
          <t>胡亚蒙</t>
        </is>
      </c>
      <c r="C124" s="136" t="inlineStr">
        <is>
          <t>公积金196919710205</t>
        </is>
      </c>
      <c r="D124" s="136" t="inlineStr">
        <is>
          <t>自动驾驶实车系统验证工程师</t>
        </is>
      </c>
      <c r="E124" s="140" t="n">
        <v>44767</v>
      </c>
      <c r="F124" s="140" t="n">
        <v>44858</v>
      </c>
      <c r="G124" s="136" t="inlineStr">
        <is>
          <t>2022/8月</t>
        </is>
      </c>
      <c r="H124" s="136" t="inlineStr">
        <is>
          <t>上海</t>
        </is>
      </c>
      <c r="I124" s="136" t="inlineStr">
        <is>
          <t>上海</t>
        </is>
      </c>
      <c r="J124" s="136" t="n">
        <v>15200</v>
      </c>
      <c r="K124" s="136" t="n">
        <v>19000</v>
      </c>
      <c r="L124" s="136" t="n">
        <v>6520</v>
      </c>
      <c r="M124" s="136" t="inlineStr">
        <is>
          <t>2590*12%</t>
        </is>
      </c>
      <c r="P124" s="136" t="inlineStr">
        <is>
          <t>智联150/月 付一押2</t>
        </is>
      </c>
      <c r="Q124" s="136" t="n">
        <v>18</v>
      </c>
      <c r="R124" s="136" t="n">
        <v>12</v>
      </c>
      <c r="S124" s="136" t="n">
        <v>18</v>
      </c>
      <c r="T124" s="136" t="n">
        <v>3</v>
      </c>
      <c r="U124" s="136" t="n">
        <v>3</v>
      </c>
      <c r="V124" s="136" t="inlineStr">
        <is>
          <t>专科</t>
        </is>
      </c>
      <c r="W124" s="140" t="n">
        <v>42552</v>
      </c>
      <c r="X124" s="136" t="inlineStr">
        <is>
          <t>专科</t>
        </is>
      </c>
      <c r="Y124" s="136" t="inlineStr">
        <is>
          <t>huyameng1001@163.com</t>
        </is>
      </c>
      <c r="Z124" s="136" t="inlineStr">
        <is>
          <t>安徽省亳州市谯城区华佗镇大王行政村前胡村229户</t>
        </is>
      </c>
      <c r="AA124" s="136" t="inlineStr">
        <is>
          <t>安徽省亳州市谯城区华佗镇大王行政村前胡村229户</t>
        </is>
      </c>
      <c r="AB124" s="136" t="n">
        <v>16621062754</v>
      </c>
      <c r="AC124" s="521" t="inlineStr">
        <is>
          <t>341281199310018417</t>
        </is>
      </c>
      <c r="AD124" s="136" t="inlineStr">
        <is>
          <t>胡亚蒙建行：6215340301704542645</t>
        </is>
      </c>
      <c r="AF124" s="160" t="n"/>
    </row>
    <row r="125" customFormat="1" s="136">
      <c r="A125" s="136" t="inlineStr">
        <is>
          <t>第76个脱敏</t>
        </is>
      </c>
      <c r="B125" s="136" t="inlineStr">
        <is>
          <t>王大明</t>
        </is>
      </c>
      <c r="D125" s="136" t="inlineStr">
        <is>
          <t>modem</t>
        </is>
      </c>
      <c r="E125" s="140" t="n">
        <v>44769</v>
      </c>
      <c r="F125" s="140" t="n">
        <v>44860</v>
      </c>
      <c r="G125" s="136" t="inlineStr">
        <is>
          <t>2022/8月</t>
        </is>
      </c>
      <c r="H125" s="136" t="inlineStr">
        <is>
          <t>南京</t>
        </is>
      </c>
      <c r="I125" s="136" t="inlineStr">
        <is>
          <t>南京</t>
        </is>
      </c>
      <c r="J125" s="136" t="n">
        <v>20000</v>
      </c>
      <c r="K125" s="136" t="n">
        <v>25000</v>
      </c>
      <c r="L125" s="136" t="n">
        <v>4250</v>
      </c>
      <c r="M125" s="136" t="n">
        <v>10000</v>
      </c>
      <c r="P125" s="136" t="inlineStr">
        <is>
          <t>文石50/月</t>
        </is>
      </c>
      <c r="Q125" s="136" t="n">
        <v>18</v>
      </c>
      <c r="R125" s="136" t="n">
        <v>12</v>
      </c>
      <c r="S125" s="136" t="n">
        <v>18</v>
      </c>
      <c r="T125" s="136" t="n">
        <v>3</v>
      </c>
      <c r="U125" s="136" t="n">
        <v>3</v>
      </c>
      <c r="V125" s="136" t="inlineStr">
        <is>
          <t>本科</t>
        </is>
      </c>
      <c r="W125" s="140" t="n">
        <v>43282</v>
      </c>
      <c r="X125" s="136" t="inlineStr">
        <is>
          <t>郑州大学</t>
        </is>
      </c>
      <c r="Y125" s="159" t="inlineStr">
        <is>
          <t xml:space="preserve">hellowdaming@163.com </t>
        </is>
      </c>
      <c r="Z125" s="136" t="inlineStr">
        <is>
          <t>河南省商丘市睢阳区郭村镇何庄村丁王庄9-2</t>
        </is>
      </c>
      <c r="AA125" s="136" t="inlineStr">
        <is>
          <t>河南省商丘市睢阳区郭村镇何庄村丁王庄9-2</t>
        </is>
      </c>
      <c r="AB125" s="136" t="n">
        <v>17364035024</v>
      </c>
      <c r="AC125" s="521" t="inlineStr">
        <is>
          <t>411403199107255193</t>
        </is>
      </c>
      <c r="AD125" s="136" t="inlineStr">
        <is>
          <t>王大明建行6217002430021530226</t>
        </is>
      </c>
      <c r="AE125" s="136" t="inlineStr">
        <is>
          <t>医保卡卡号1891287421</t>
        </is>
      </c>
      <c r="AF125" s="160" t="inlineStr">
        <is>
          <t>公积金3201000521361315</t>
        </is>
      </c>
    </row>
    <row r="126" customFormat="1" s="136">
      <c r="A126" s="136" t="inlineStr">
        <is>
          <t>第77个脱敏</t>
        </is>
      </c>
      <c r="B126" s="136" t="inlineStr">
        <is>
          <t>孙浩</t>
        </is>
      </c>
      <c r="D126" s="136" t="inlineStr">
        <is>
          <t>应用软件工程师</t>
        </is>
      </c>
      <c r="E126" s="140" t="n">
        <v>44753</v>
      </c>
      <c r="F126" s="136" t="inlineStr">
        <is>
          <t>2022.10.10</t>
        </is>
      </c>
      <c r="G126" s="136" t="n">
        <v>2022.7</v>
      </c>
      <c r="H126" s="136" t="inlineStr">
        <is>
          <t>南京</t>
        </is>
      </c>
      <c r="I126" s="136" t="inlineStr">
        <is>
          <t>南京</t>
        </is>
      </c>
      <c r="J126" s="136" t="n">
        <v>27000</v>
      </c>
      <c r="K126" s="136" t="n">
        <v>30000</v>
      </c>
      <c r="L126" s="136" t="n">
        <v>4250</v>
      </c>
      <c r="M126" s="136" t="inlineStr">
        <is>
          <t>2280（10%）</t>
        </is>
      </c>
      <c r="P126" s="136" t="inlineStr">
        <is>
          <t>文石50/月</t>
        </is>
      </c>
      <c r="Q126" s="136" t="n">
        <v>0</v>
      </c>
      <c r="R126" s="136" t="n">
        <v>0</v>
      </c>
      <c r="S126" s="136" t="n">
        <v>18</v>
      </c>
      <c r="T126" s="136" t="n">
        <v>3</v>
      </c>
      <c r="U126" s="136" t="n">
        <v>3</v>
      </c>
      <c r="V126" s="136" t="inlineStr">
        <is>
          <t>本科</t>
        </is>
      </c>
      <c r="W126" s="140" t="n">
        <v>41456</v>
      </c>
      <c r="X126" s="136" t="inlineStr">
        <is>
          <t>安徽科技学院</t>
        </is>
      </c>
      <c r="Y126" s="136" t="inlineStr">
        <is>
          <t>sunhao_lyg@163.com</t>
        </is>
      </c>
      <c r="Z126" s="136" t="inlineStr">
        <is>
          <t>江苏省赣榆县沙河镇赤金村东赤金二队512号</t>
        </is>
      </c>
      <c r="AA126" s="136" t="inlineStr">
        <is>
          <t>江苏省赣榆县沙河镇赤金村东赤金二队512号</t>
        </is>
      </c>
      <c r="AB126" s="136" t="n">
        <v>18724017465</v>
      </c>
      <c r="AC126" s="521" t="inlineStr">
        <is>
          <t>320721199105152250</t>
        </is>
      </c>
      <c r="AD126" s="136" t="inlineStr">
        <is>
          <t>孙浩招商银行南京分行鼓楼支行 6214851254904159</t>
        </is>
      </c>
      <c r="AE126" s="136" t="inlineStr">
        <is>
          <t>医保卡号1885622376</t>
        </is>
      </c>
      <c r="AF126" s="160" t="inlineStr">
        <is>
          <t>公积金3201000385185656</t>
        </is>
      </c>
    </row>
    <row r="127" customFormat="1" s="136">
      <c r="A127" s="136" t="inlineStr">
        <is>
          <t>第78个脱敏</t>
        </is>
      </c>
      <c r="B127" s="136" t="inlineStr">
        <is>
          <t>韦方巧</t>
        </is>
      </c>
      <c r="D127" s="136" t="inlineStr">
        <is>
          <t>软件测试工程师</t>
        </is>
      </c>
      <c r="E127" s="140" t="n">
        <v>44769</v>
      </c>
      <c r="F127" s="140" t="n">
        <v>44860</v>
      </c>
      <c r="G127" s="136" t="n">
        <v>2022.8</v>
      </c>
      <c r="H127" s="136" t="inlineStr">
        <is>
          <t>东莞</t>
        </is>
      </c>
      <c r="I127" s="136" t="inlineStr">
        <is>
          <t>东莞</t>
        </is>
      </c>
      <c r="J127" s="136" t="n">
        <v>12600</v>
      </c>
      <c r="K127" s="136" t="n">
        <v>14000</v>
      </c>
      <c r="L127" s="136" t="n">
        <v>3958</v>
      </c>
      <c r="M127" s="136" t="inlineStr">
        <is>
          <t>1900（10%）</t>
        </is>
      </c>
      <c r="P127" s="136" t="inlineStr">
        <is>
          <t>邦芒50/月</t>
        </is>
      </c>
      <c r="Q127" s="136" t="n">
        <v>18</v>
      </c>
      <c r="R127" s="136" t="n">
        <v>12</v>
      </c>
      <c r="S127" s="136" t="n">
        <v>0</v>
      </c>
      <c r="T127" s="136" t="n">
        <v>3</v>
      </c>
      <c r="U127" s="136" t="n">
        <v>3</v>
      </c>
      <c r="V127" s="136" t="inlineStr">
        <is>
          <t>专科</t>
        </is>
      </c>
      <c r="W127" s="140" t="n">
        <v>42917</v>
      </c>
      <c r="X127" s="136" t="inlineStr">
        <is>
          <t>重庆工商职业学院</t>
        </is>
      </c>
      <c r="Y127" s="159" t="inlineStr">
        <is>
          <t>29540039@qq.com</t>
        </is>
      </c>
      <c r="Z127" s="136" t="inlineStr">
        <is>
          <t>重庆市巫溪县下堡镇宁桥村5组119号</t>
        </is>
      </c>
      <c r="AA127" s="136" t="inlineStr">
        <is>
          <t>重庆市巫溪县下堡镇宁桥村5组119号</t>
        </is>
      </c>
      <c r="AB127" s="136" t="n">
        <v>15178911787</v>
      </c>
      <c r="AC127" s="521" t="inlineStr">
        <is>
          <t>500238199305157690</t>
        </is>
      </c>
      <c r="AD127" s="136" t="inlineStr">
        <is>
          <t>韦方巧建行6215983760002099156</t>
        </is>
      </c>
      <c r="AF127" s="160" t="n"/>
    </row>
    <row r="128" customFormat="1" s="136">
      <c r="A128" s="136" t="inlineStr">
        <is>
          <t>第79个脱敏</t>
        </is>
      </c>
      <c r="B128" s="136" t="inlineStr">
        <is>
          <t>许新龙</t>
        </is>
      </c>
      <c r="D128" s="136" t="inlineStr">
        <is>
          <t>高级测试技术员</t>
        </is>
      </c>
      <c r="E128" s="136" t="inlineStr">
        <is>
          <t>2022.7.27</t>
        </is>
      </c>
      <c r="F128" s="136" t="inlineStr">
        <is>
          <t>2022.10.26</t>
        </is>
      </c>
      <c r="G128" s="136" t="n">
        <v>2022.8</v>
      </c>
      <c r="H128" s="136" t="inlineStr">
        <is>
          <t>杭州</t>
        </is>
      </c>
      <c r="I128" s="136" t="inlineStr">
        <is>
          <t>杭州</t>
        </is>
      </c>
      <c r="J128" s="136" t="n">
        <v>5200</v>
      </c>
      <c r="K128" s="136" t="n">
        <v>6500</v>
      </c>
      <c r="L128" s="136" t="n">
        <v>3957</v>
      </c>
      <c r="M128" s="136" t="inlineStr">
        <is>
          <t>2280（杭州地区只有12%）</t>
        </is>
      </c>
      <c r="P128" s="136" t="inlineStr">
        <is>
          <t>嘉创网站</t>
        </is>
      </c>
      <c r="Q128" s="136" t="n">
        <v>0</v>
      </c>
      <c r="R128" s="136" t="n">
        <v>0</v>
      </c>
      <c r="S128" s="136" t="n">
        <v>18</v>
      </c>
      <c r="T128" s="136" t="n">
        <v>3</v>
      </c>
      <c r="U128" s="136" t="n">
        <v>3</v>
      </c>
      <c r="V128" s="136" t="inlineStr">
        <is>
          <t>全日制本科</t>
        </is>
      </c>
      <c r="W128" s="140" t="n">
        <v>44729</v>
      </c>
      <c r="X128" s="136" t="inlineStr">
        <is>
          <t>常州大学怀德学院</t>
        </is>
      </c>
      <c r="Y128" s="159" t="inlineStr">
        <is>
          <t>2329810660@qq.com</t>
        </is>
      </c>
      <c r="Z128" s="136" t="inlineStr">
        <is>
          <t>安徽省马鞍山市和县白桥镇大许村委会大许自然村19号</t>
        </is>
      </c>
      <c r="AA128" s="136" t="inlineStr">
        <is>
          <t>安徽省马鞍山市和县白桥镇大许村委会大许自然村19号</t>
        </is>
      </c>
      <c r="AB128" s="136" t="n">
        <v>19802676011</v>
      </c>
      <c r="AC128" s="521" t="inlineStr">
        <is>
          <t>342626200002011575</t>
        </is>
      </c>
      <c r="AD128" s="136" t="inlineStr">
        <is>
          <t>许新龙建行6217001310009154895</t>
        </is>
      </c>
      <c r="AE128" s="136" t="inlineStr">
        <is>
          <t>公司多承担的４６元　从员工工资里面扣</t>
        </is>
      </c>
      <c r="AF128" s="160" t="n"/>
    </row>
    <row r="129" customFormat="1" s="136">
      <c r="A129" s="136" t="inlineStr">
        <is>
          <t>第80个脱敏</t>
        </is>
      </c>
      <c r="B129" s="136" t="inlineStr">
        <is>
          <t>李银雨</t>
        </is>
      </c>
      <c r="C129" s="136" t="inlineStr">
        <is>
          <t>公积金3201000519462093</t>
        </is>
      </c>
      <c r="D129" s="136" t="inlineStr">
        <is>
          <t>整机测试</t>
        </is>
      </c>
      <c r="E129" s="140" t="n">
        <v>44770</v>
      </c>
      <c r="F129" s="140" t="n">
        <v>44861</v>
      </c>
      <c r="G129" s="136" t="n">
        <v>2022.8</v>
      </c>
      <c r="H129" s="136" t="inlineStr">
        <is>
          <t>南京</t>
        </is>
      </c>
      <c r="I129" s="136" t="inlineStr">
        <is>
          <t>南京</t>
        </is>
      </c>
      <c r="J129" s="136" t="n">
        <v>6800</v>
      </c>
      <c r="K129" s="136" t="n">
        <v>8500</v>
      </c>
      <c r="L129" s="136" t="n">
        <v>4250</v>
      </c>
      <c r="M129" s="136" t="n">
        <v>3400</v>
      </c>
      <c r="P129" s="136" t="inlineStr">
        <is>
          <t>文石50/月</t>
        </is>
      </c>
      <c r="Q129" s="136" t="n">
        <v>18</v>
      </c>
      <c r="R129" s="136" t="n">
        <v>12</v>
      </c>
      <c r="S129" s="136" t="n">
        <v>18</v>
      </c>
      <c r="T129" s="136" t="n">
        <v>3</v>
      </c>
      <c r="U129" s="136" t="n">
        <v>3</v>
      </c>
      <c r="V129" s="136" t="inlineStr">
        <is>
          <t>本科</t>
        </is>
      </c>
      <c r="W129" s="140" t="n">
        <v>44013</v>
      </c>
      <c r="X129" s="136" t="inlineStr">
        <is>
          <t>泰州学院</t>
        </is>
      </c>
      <c r="Y129" s="159" t="inlineStr">
        <is>
          <t>2570561356@qq.com</t>
        </is>
      </c>
      <c r="Z129" s="136" t="inlineStr">
        <is>
          <t>江苏省句容市天王镇元门自然村21号</t>
        </is>
      </c>
      <c r="AA129" s="136" t="inlineStr">
        <is>
          <t>江苏省句容市天王镇元门自然村21号</t>
        </is>
      </c>
      <c r="AB129" s="136" t="n">
        <v>18652035696</v>
      </c>
      <c r="AC129" s="521" t="inlineStr">
        <is>
          <t>321183199801204824</t>
        </is>
      </c>
      <c r="AD129" s="136" t="inlineStr">
        <is>
          <t>李银雨建行6236681310002057217</t>
        </is>
      </c>
      <c r="AE129" s="136" t="inlineStr">
        <is>
          <t>医保卡1891167407</t>
        </is>
      </c>
      <c r="AF129" s="160" t="inlineStr">
        <is>
          <t>公积金3201000519462093</t>
        </is>
      </c>
    </row>
    <row r="130" customFormat="1" s="136">
      <c r="A130" s="136" t="inlineStr">
        <is>
          <t>第81个脱敏</t>
        </is>
      </c>
      <c r="B130" s="136" t="inlineStr">
        <is>
          <t>王浩</t>
        </is>
      </c>
      <c r="C130" s="136" t="inlineStr">
        <is>
          <t>公积金3201000556912953</t>
        </is>
      </c>
      <c r="D130" s="136" t="inlineStr">
        <is>
          <t>整机测试工程师</t>
        </is>
      </c>
      <c r="E130" s="136" t="inlineStr">
        <is>
          <t>2022.07.28</t>
        </is>
      </c>
      <c r="F130" s="136" t="inlineStr">
        <is>
          <t>2022.10.27</t>
        </is>
      </c>
      <c r="G130" s="136" t="n">
        <v>2022.8</v>
      </c>
      <c r="H130" s="136" t="inlineStr">
        <is>
          <t>南京</t>
        </is>
      </c>
      <c r="I130" s="136" t="inlineStr">
        <is>
          <t>南京</t>
        </is>
      </c>
      <c r="J130" s="136" t="n">
        <v>5600</v>
      </c>
      <c r="K130" s="136" t="n">
        <v>7000</v>
      </c>
      <c r="L130" s="136" t="n">
        <v>4250</v>
      </c>
      <c r="M130" s="136" t="n">
        <v>2800</v>
      </c>
      <c r="P130" s="136" t="inlineStr">
        <is>
          <t>文石50/月</t>
        </is>
      </c>
      <c r="Q130" s="136" t="n">
        <v>18</v>
      </c>
      <c r="R130" s="136" t="n">
        <v>12</v>
      </c>
      <c r="S130" s="136" t="n">
        <v>18</v>
      </c>
      <c r="T130" s="136" t="n">
        <v>3</v>
      </c>
      <c r="U130" s="136" t="n">
        <v>3</v>
      </c>
      <c r="V130" s="136" t="inlineStr">
        <is>
          <t>本科</t>
        </is>
      </c>
      <c r="W130" s="140" t="n">
        <v>44367</v>
      </c>
      <c r="X130" s="136" t="inlineStr">
        <is>
          <t>安徽新华学院</t>
        </is>
      </c>
      <c r="Y130" s="159" t="inlineStr">
        <is>
          <t>769252864@qq.com</t>
        </is>
      </c>
      <c r="Z130" s="136" t="inlineStr">
        <is>
          <t>安徽省金寨县古碑镇七邻村街东组</t>
        </is>
      </c>
      <c r="AA130" s="136" t="inlineStr">
        <is>
          <t>安徽省金寨县古碑镇七邻村街东组</t>
        </is>
      </c>
      <c r="AB130" s="136" t="n">
        <v>18226186936</v>
      </c>
      <c r="AC130" s="521" t="inlineStr">
        <is>
          <t>342426199806222435</t>
        </is>
      </c>
      <c r="AD130" s="136" t="inlineStr">
        <is>
          <t>王浩建行6217001370054969308</t>
        </is>
      </c>
      <c r="AE130" s="136" t="inlineStr">
        <is>
          <t>医保卡1892531768</t>
        </is>
      </c>
      <c r="AF130" s="160" t="inlineStr">
        <is>
          <t>公积金3201000556912953</t>
        </is>
      </c>
    </row>
    <row r="131" customFormat="1" s="136">
      <c r="A131" s="136" t="inlineStr">
        <is>
          <t>第82个脱敏</t>
        </is>
      </c>
      <c r="B131" s="136" t="inlineStr">
        <is>
          <t>卢兆禹</t>
        </is>
      </c>
      <c r="D131" s="136" t="inlineStr">
        <is>
          <t>前端开发</t>
        </is>
      </c>
      <c r="E131" s="140" t="n">
        <v>44774</v>
      </c>
      <c r="F131" s="140" t="n">
        <v>44866</v>
      </c>
      <c r="G131" s="136" t="n">
        <v>2022.8</v>
      </c>
      <c r="H131" s="136" t="inlineStr">
        <is>
          <t>南京</t>
        </is>
      </c>
      <c r="I131" s="136" t="inlineStr">
        <is>
          <t>南京</t>
        </is>
      </c>
      <c r="J131" s="136" t="n">
        <v>14400</v>
      </c>
      <c r="K131" s="136" t="n">
        <v>18000</v>
      </c>
      <c r="L131" s="136" t="n">
        <v>4250</v>
      </c>
      <c r="M131" s="136" t="inlineStr">
        <is>
          <t>2280（10%）</t>
        </is>
      </c>
      <c r="P131" s="136" t="inlineStr">
        <is>
          <t>文石50/月</t>
        </is>
      </c>
      <c r="Q131" s="136" t="inlineStr">
        <is>
          <t>综合补贴300/月</t>
        </is>
      </c>
      <c r="R131" s="538" t="n"/>
      <c r="S131" s="136" t="n">
        <v>18</v>
      </c>
      <c r="T131" s="136" t="n">
        <v>3</v>
      </c>
      <c r="U131" s="136" t="n">
        <v>3</v>
      </c>
      <c r="V131" s="136" t="inlineStr">
        <is>
          <t>全日制本科</t>
        </is>
      </c>
      <c r="W131" s="140" t="n">
        <v>42178</v>
      </c>
      <c r="X131" s="136" t="inlineStr">
        <is>
          <t>南京航空航天大学金城学院</t>
        </is>
      </c>
      <c r="Y131" s="159" t="inlineStr">
        <is>
          <t>luzhaoyu0810@163.com</t>
        </is>
      </c>
      <c r="Z131" s="136" t="inlineStr">
        <is>
          <t>南京市秦淮区仁义桥24号6室</t>
        </is>
      </c>
      <c r="AA131" s="136" t="inlineStr">
        <is>
          <t>南京市秦淮区仁义桥24号6室</t>
        </is>
      </c>
      <c r="AB131" s="136" t="n">
        <v>15852938576</v>
      </c>
      <c r="AC131" s="521" t="inlineStr">
        <is>
          <t>320104199308101614</t>
        </is>
      </c>
      <c r="AD131" s="136" t="inlineStr">
        <is>
          <t>卢兆禹建行：6217001370036821346</t>
        </is>
      </c>
      <c r="AE131" s="136" t="inlineStr">
        <is>
          <t>医保卡1000554773</t>
        </is>
      </c>
      <c r="AF131" s="160" t="inlineStr">
        <is>
          <t>公积金3201000433430796</t>
        </is>
      </c>
    </row>
    <row r="132" customFormat="1" s="136">
      <c r="A132" s="136" t="inlineStr">
        <is>
          <t>第83个脱敏</t>
        </is>
      </c>
      <c r="B132" s="160" t="inlineStr">
        <is>
          <t>田艳（2022年11月22调整到西安去了 工资7600 五险基数3926 公积金1950 *5%）</t>
        </is>
      </c>
      <c r="D132" s="136" t="inlineStr">
        <is>
          <t>软件测试工程师</t>
        </is>
      </c>
      <c r="E132" s="140" t="n">
        <v>44802</v>
      </c>
      <c r="F132" s="140" t="n">
        <v>44893</v>
      </c>
      <c r="G132" s="136" t="n">
        <v>2022.9</v>
      </c>
      <c r="H132" s="136" t="inlineStr">
        <is>
          <t>上海</t>
        </is>
      </c>
      <c r="I132" s="136" t="inlineStr">
        <is>
          <t>上海</t>
        </is>
      </c>
      <c r="J132" s="136" t="n">
        <v>8000</v>
      </c>
      <c r="K132" s="136" t="n">
        <v>10000</v>
      </c>
      <c r="L132" s="136" t="n">
        <v>6520</v>
      </c>
      <c r="M132" s="136" t="inlineStr">
        <is>
          <t>2590（12%）</t>
        </is>
      </c>
      <c r="P132" s="136" t="inlineStr">
        <is>
          <t>智联150/月变邦芒50/月</t>
        </is>
      </c>
      <c r="Q132" s="136" t="n">
        <v>0</v>
      </c>
      <c r="R132" s="136" t="n">
        <v>0</v>
      </c>
      <c r="S132" s="136" t="inlineStr">
        <is>
          <t>加班满40小时调休24小时</t>
        </is>
      </c>
      <c r="T132" s="136" t="n">
        <v>3</v>
      </c>
      <c r="U132" s="136" t="n">
        <v>3</v>
      </c>
      <c r="V132" s="136" t="inlineStr">
        <is>
          <t>专科</t>
        </is>
      </c>
      <c r="W132" s="140" t="n">
        <v>44013</v>
      </c>
      <c r="X132" s="136" t="inlineStr">
        <is>
          <t>西安航空学院</t>
        </is>
      </c>
      <c r="Y132" s="159" t="inlineStr">
        <is>
          <t>1737116732@qq.com</t>
        </is>
      </c>
      <c r="Z132" s="136" t="inlineStr">
        <is>
          <t>西安市周至县集贤镇马滩村北一东路3号</t>
        </is>
      </c>
      <c r="AA132" s="136" t="inlineStr">
        <is>
          <t>西安市周至县集贤镇马滩村北一东路3号</t>
        </is>
      </c>
      <c r="AB132" s="136" t="n">
        <v>15398005548</v>
      </c>
      <c r="AC132" s="521" t="inlineStr">
        <is>
          <t>610124199807063020</t>
        </is>
      </c>
      <c r="AD132" s="136" t="inlineStr">
        <is>
          <t>田艳建行6217002870095932669</t>
        </is>
      </c>
      <c r="AF132" s="160" t="n"/>
    </row>
    <row r="133" customFormat="1" s="136">
      <c r="A133" s="136" t="inlineStr">
        <is>
          <t>第84个脱敏</t>
        </is>
      </c>
      <c r="B133" s="136" t="inlineStr">
        <is>
          <t>丁焓峰（从未入职）</t>
        </is>
      </c>
      <c r="D133" s="136" t="inlineStr">
        <is>
          <t xml:space="preserve"> BSP驱动开发工程师</t>
        </is>
      </c>
      <c r="E133" s="140" t="n">
        <v>44819</v>
      </c>
      <c r="F133" s="140" t="n">
        <v>44909</v>
      </c>
      <c r="G133" s="136" t="n">
        <v>2022.9</v>
      </c>
      <c r="H133" s="136" t="inlineStr">
        <is>
          <t>南京</t>
        </is>
      </c>
      <c r="I133" s="136" t="inlineStr">
        <is>
          <t>南京</t>
        </is>
      </c>
      <c r="J133" s="136" t="n">
        <v>8800</v>
      </c>
      <c r="K133" s="136" t="n">
        <v>11000</v>
      </c>
      <c r="L133" s="136" t="n">
        <v>4250</v>
      </c>
      <c r="M133" s="136" t="inlineStr">
        <is>
          <t xml:space="preserve">4400*10% </t>
        </is>
      </c>
      <c r="P133" s="136" t="inlineStr">
        <is>
          <t>文石50/月</t>
        </is>
      </c>
      <c r="Q133" s="136" t="n">
        <v>18</v>
      </c>
      <c r="R133" s="136" t="n">
        <v>12</v>
      </c>
      <c r="S133" s="136" t="n">
        <v>18</v>
      </c>
      <c r="T133" s="136" t="n">
        <v>3</v>
      </c>
      <c r="U133" s="136" t="n">
        <v>3</v>
      </c>
      <c r="V133" s="136" t="inlineStr">
        <is>
          <t>统招本科</t>
        </is>
      </c>
      <c r="W133" s="140" t="n">
        <v>44376</v>
      </c>
      <c r="X133" s="136" t="inlineStr">
        <is>
          <t>金陵科技学院</t>
        </is>
      </c>
      <c r="Y133" s="159" t="inlineStr">
        <is>
          <t>985754223@qq.com</t>
        </is>
      </c>
      <c r="Z133" s="136" t="inlineStr">
        <is>
          <t>／</t>
        </is>
      </c>
      <c r="AA133" s="136" t="inlineStr">
        <is>
          <t>／</t>
        </is>
      </c>
      <c r="AB133" s="136" t="n">
        <v>15651073983</v>
      </c>
      <c r="AC133" s="136" t="inlineStr">
        <is>
          <t>,320621199811018539</t>
        </is>
      </c>
      <c r="AD133" s="136" t="inlineStr">
        <is>
          <t>／</t>
        </is>
      </c>
      <c r="AE133" s="136" t="inlineStr">
        <is>
          <t>／</t>
        </is>
      </c>
      <c r="AF133" s="160" t="inlineStr">
        <is>
          <t>／</t>
        </is>
      </c>
    </row>
    <row r="134" customFormat="1" s="136">
      <c r="A134" s="136" t="inlineStr">
        <is>
          <t>第85个脱敏</t>
        </is>
      </c>
      <c r="B134" s="136" t="inlineStr">
        <is>
          <t>谢杰锋(9月30号离职)</t>
        </is>
      </c>
      <c r="D134" s="136" t="inlineStr">
        <is>
          <t>硬件测试工程师 (SI信号完整性测试)</t>
        </is>
      </c>
      <c r="E134" s="140" t="n">
        <v>44820</v>
      </c>
      <c r="F134" s="140" t="n">
        <v>44910</v>
      </c>
      <c r="G134" s="627" t="n">
        <v>2022.1</v>
      </c>
      <c r="H134" s="136" t="inlineStr">
        <is>
          <t>东莞</t>
        </is>
      </c>
      <c r="I134" s="136" t="inlineStr">
        <is>
          <t>东莞</t>
        </is>
      </c>
      <c r="J134" s="136" t="n">
        <v>9000</v>
      </c>
      <c r="K134" s="136" t="n">
        <v>10000</v>
      </c>
      <c r="L134" s="136" t="n">
        <v>3958</v>
      </c>
      <c r="M134" s="136" t="inlineStr">
        <is>
          <t>10000（10%）</t>
        </is>
      </c>
      <c r="P134" s="136" t="inlineStr">
        <is>
          <t>邦芒50/月</t>
        </is>
      </c>
      <c r="Q134" s="136" t="n">
        <v>18</v>
      </c>
      <c r="R134" s="136" t="n">
        <v>12</v>
      </c>
      <c r="S134" s="136" t="inlineStr">
        <is>
          <t>晚上超过6点半以后算加班 15/小时</t>
        </is>
      </c>
      <c r="T134" s="136" t="n">
        <v>3</v>
      </c>
      <c r="U134" s="136" t="n">
        <v>3</v>
      </c>
      <c r="V134" s="136" t="inlineStr">
        <is>
          <t>统招本科</t>
        </is>
      </c>
      <c r="W134" s="140" t="n">
        <v>42551</v>
      </c>
      <c r="X134" s="136" t="inlineStr">
        <is>
          <t>河池学院</t>
        </is>
      </c>
      <c r="Y134" s="159" t="inlineStr">
        <is>
          <t>1249777686@qq.com</t>
        </is>
      </c>
      <c r="Z134" s="136" t="inlineStr">
        <is>
          <t>／</t>
        </is>
      </c>
      <c r="AA134" s="136" t="inlineStr">
        <is>
          <t>／</t>
        </is>
      </c>
      <c r="AB134" s="136" t="n">
        <v>18277576408</v>
      </c>
      <c r="AC134" s="521" t="inlineStr">
        <is>
          <t>450981199303204273</t>
        </is>
      </c>
      <c r="AD134" s="136" t="inlineStr">
        <is>
          <t>谢杰锋建行6217003430000239376</t>
        </is>
      </c>
      <c r="AF134" s="160" t="n"/>
    </row>
    <row r="135" customFormat="1" s="136">
      <c r="A135" s="136" t="inlineStr">
        <is>
          <t>第86个脱敏</t>
        </is>
      </c>
      <c r="B135" s="136" t="inlineStr">
        <is>
          <t>吕娇娇</t>
        </is>
      </c>
      <c r="D135" s="136" t="inlineStr">
        <is>
          <t>软件测试工程师（终端方向）</t>
        </is>
      </c>
      <c r="E135" s="140" t="n">
        <v>44811</v>
      </c>
      <c r="F135" s="140" t="n">
        <v>44901</v>
      </c>
      <c r="G135" s="136" t="n">
        <v>2022.9</v>
      </c>
      <c r="H135" s="136" t="inlineStr">
        <is>
          <t>南京</t>
        </is>
      </c>
      <c r="I135" s="136" t="inlineStr">
        <is>
          <t>南京</t>
        </is>
      </c>
      <c r="J135" s="136" t="n">
        <v>12800</v>
      </c>
      <c r="K135" s="136" t="n">
        <v>16000</v>
      </c>
      <c r="L135" s="136" t="n">
        <v>4250</v>
      </c>
      <c r="M135" s="136" t="inlineStr">
        <is>
          <t>5000（10%）</t>
        </is>
      </c>
      <c r="P135" s="136" t="inlineStr">
        <is>
          <t>文石50/月</t>
        </is>
      </c>
      <c r="Q135" s="136" t="n">
        <v>18</v>
      </c>
      <c r="R135" s="136" t="n">
        <v>12</v>
      </c>
      <c r="S135" s="136" t="n">
        <v>18</v>
      </c>
      <c r="T135" s="136" t="n">
        <v>3</v>
      </c>
      <c r="U135" s="136" t="n">
        <v>3</v>
      </c>
      <c r="V135" s="136" t="inlineStr">
        <is>
          <t>统招本科</t>
        </is>
      </c>
      <c r="W135" s="140" t="n">
        <v>42544</v>
      </c>
      <c r="X135" s="136" t="inlineStr">
        <is>
          <t>南京工业大学</t>
        </is>
      </c>
      <c r="Y135" s="159" t="inlineStr">
        <is>
          <t>603541019@qq.com</t>
        </is>
      </c>
      <c r="Z135" s="136" t="inlineStr">
        <is>
          <t>江苏省睢宁县双沟镇园西村556号</t>
        </is>
      </c>
      <c r="AA135" s="136" t="inlineStr">
        <is>
          <t>江苏省睢宁县双沟镇园西村556号</t>
        </is>
      </c>
      <c r="AB135" s="136" t="n">
        <v>15151815317</v>
      </c>
      <c r="AC135" s="521" t="inlineStr">
        <is>
          <t>320324199303222982</t>
        </is>
      </c>
      <c r="AD135" s="136" t="inlineStr">
        <is>
          <t>吕娇娇建行：6217001370055639470</t>
        </is>
      </c>
      <c r="AE135" s="136" t="inlineStr">
        <is>
          <t>医保卡1881738933</t>
        </is>
      </c>
      <c r="AF135" s="160" t="inlineStr">
        <is>
          <t>公积金3201000414726402</t>
        </is>
      </c>
    </row>
    <row r="136" customFormat="1" s="136">
      <c r="A136" s="136" t="inlineStr">
        <is>
          <t>第87个脱敏</t>
        </is>
      </c>
      <c r="B136" s="136" t="inlineStr">
        <is>
          <t>袁楷文</t>
        </is>
      </c>
      <c r="D136" s="136" t="inlineStr">
        <is>
          <t>服务器开发工程师</t>
        </is>
      </c>
      <c r="E136" s="136" t="inlineStr">
        <is>
          <t>2022.9.21</t>
        </is>
      </c>
      <c r="F136" s="136" t="inlineStr">
        <is>
          <t>2022.12.20</t>
        </is>
      </c>
      <c r="G136" s="627" t="n">
        <v>2022.1</v>
      </c>
      <c r="H136" s="136" t="inlineStr">
        <is>
          <t>南京</t>
        </is>
      </c>
      <c r="I136" s="136" t="inlineStr">
        <is>
          <t>南京</t>
        </is>
      </c>
      <c r="J136" s="136" t="n">
        <v>20250</v>
      </c>
      <c r="K136" s="136" t="n">
        <v>22500</v>
      </c>
      <c r="L136" s="136" t="n">
        <v>4250</v>
      </c>
      <c r="M136" s="136" t="inlineStr">
        <is>
          <t>2280（10%）</t>
        </is>
      </c>
      <c r="P136" s="136" t="inlineStr">
        <is>
          <t>文石50/月</t>
        </is>
      </c>
      <c r="Q136" s="136" t="n">
        <v>0</v>
      </c>
      <c r="R136" s="136" t="n">
        <v>0</v>
      </c>
      <c r="S136" s="136" t="n">
        <v>18</v>
      </c>
      <c r="T136" s="136" t="n">
        <v>3</v>
      </c>
      <c r="U136" s="136" t="n">
        <v>3</v>
      </c>
      <c r="V136" s="136" t="inlineStr">
        <is>
          <t>全日制本科</t>
        </is>
      </c>
      <c r="W136" s="140" t="n">
        <v>43273</v>
      </c>
      <c r="X136" s="136" t="inlineStr">
        <is>
          <t>南京工业大学浦江学院</t>
        </is>
      </c>
      <c r="Y136" s="159" t="inlineStr">
        <is>
          <t>1359248786@qq.com</t>
        </is>
      </c>
      <c r="Z136" s="136" t="inlineStr">
        <is>
          <t>江苏省丹阳市延陵镇宝林村岸西64号</t>
        </is>
      </c>
      <c r="AA136" s="136" t="inlineStr">
        <is>
          <t>江苏省丹阳市延陵镇宝林村岸西64号</t>
        </is>
      </c>
      <c r="AB136" s="136" t="n">
        <v>18694982322</v>
      </c>
      <c r="AC136" s="136" t="inlineStr">
        <is>
          <t>32118119960831237X</t>
        </is>
      </c>
      <c r="AD136" s="136" t="inlineStr">
        <is>
          <t>袁楷文建行6217001370043616689</t>
        </is>
      </c>
      <c r="AE136" s="136" t="inlineStr">
        <is>
          <t>医保卡1884430661</t>
        </is>
      </c>
      <c r="AF136" s="160" t="inlineStr">
        <is>
          <t>公积金3201000452098668</t>
        </is>
      </c>
    </row>
    <row r="137" customFormat="1" s="136">
      <c r="A137" s="136" t="inlineStr">
        <is>
          <t>第88个脱敏</t>
        </is>
      </c>
      <c r="B137" s="136" t="inlineStr">
        <is>
          <t>胡飞</t>
        </is>
      </c>
      <c r="D137" s="136" t="inlineStr">
        <is>
          <t xml:space="preserve"> 外场测试</t>
        </is>
      </c>
      <c r="E137" s="140" t="n">
        <v>44830</v>
      </c>
      <c r="F137" s="136" t="inlineStr">
        <is>
          <t>2022.12.25</t>
        </is>
      </c>
      <c r="G137" s="627" t="n">
        <v>2022.1</v>
      </c>
      <c r="H137" s="136" t="inlineStr">
        <is>
          <t>南京</t>
        </is>
      </c>
      <c r="I137" s="136" t="inlineStr">
        <is>
          <t>南京</t>
        </is>
      </c>
      <c r="J137" s="136" t="n">
        <v>6000</v>
      </c>
      <c r="K137" s="136" t="n">
        <v>7500</v>
      </c>
      <c r="L137" s="136" t="n">
        <v>4250</v>
      </c>
      <c r="M137" s="136" t="inlineStr">
        <is>
          <t>3000（10%）</t>
        </is>
      </c>
      <c r="P137" s="136" t="inlineStr">
        <is>
          <t>文石50/月</t>
        </is>
      </c>
      <c r="Q137" s="136" t="n">
        <v>18</v>
      </c>
      <c r="R137" s="136" t="n">
        <v>12</v>
      </c>
      <c r="S137" s="136" t="n">
        <v>18</v>
      </c>
      <c r="T137" s="136" t="n">
        <v>3</v>
      </c>
      <c r="U137" s="136" t="n">
        <v>3</v>
      </c>
      <c r="V137" s="136" t="inlineStr">
        <is>
          <t>统招本科</t>
        </is>
      </c>
      <c r="W137" s="140" t="n">
        <v>44002</v>
      </c>
      <c r="X137" s="136" t="inlineStr">
        <is>
          <t>南京林业大学</t>
        </is>
      </c>
      <c r="Y137" s="159" t="inlineStr">
        <is>
          <t>1102676533@qq.com</t>
        </is>
      </c>
      <c r="Z137" s="136" t="inlineStr">
        <is>
          <t>江苏省南京市金王府609号</t>
        </is>
      </c>
      <c r="AA137" s="136" t="inlineStr">
        <is>
          <t>江苏省南京市金王府609号</t>
        </is>
      </c>
      <c r="AB137" s="136" t="n">
        <v>18751885298</v>
      </c>
      <c r="AC137" s="521" t="inlineStr">
        <is>
          <t>321023199809074612</t>
        </is>
      </c>
      <c r="AD137" s="136" t="inlineStr">
        <is>
          <t>胡飞建行6236681370004294986</t>
        </is>
      </c>
      <c r="AE137" s="136" t="inlineStr">
        <is>
          <t>医保卡1885958641</t>
        </is>
      </c>
      <c r="AF137" s="160" t="inlineStr">
        <is>
          <t>公积金3201000535640671</t>
        </is>
      </c>
    </row>
    <row r="138" customFormat="1" s="136">
      <c r="A138" s="136" t="inlineStr">
        <is>
          <t>第89个脱敏</t>
        </is>
      </c>
      <c r="B138" s="136" t="inlineStr">
        <is>
          <t>胡明辉（放弃入职）</t>
        </is>
      </c>
      <c r="D138" s="136" t="inlineStr">
        <is>
          <t>嵌入式系统软件测试工程师</t>
        </is>
      </c>
      <c r="E138" s="140" t="n">
        <v>44832</v>
      </c>
      <c r="F138" s="136" t="inlineStr">
        <is>
          <t>2022.12.27</t>
        </is>
      </c>
      <c r="G138" s="627" t="n">
        <v>2022.1</v>
      </c>
      <c r="H138" s="136" t="inlineStr">
        <is>
          <t>南京</t>
        </is>
      </c>
      <c r="I138" s="136" t="inlineStr">
        <is>
          <t>南京</t>
        </is>
      </c>
      <c r="L138" s="136" t="n">
        <v>4250</v>
      </c>
      <c r="M138" s="136" t="inlineStr">
        <is>
          <t>2280（公司10%）</t>
        </is>
      </c>
      <c r="P138" s="136" t="inlineStr">
        <is>
          <t>文石50/月</t>
        </is>
      </c>
      <c r="Q138" s="136" t="n">
        <v>18</v>
      </c>
      <c r="R138" s="136" t="n">
        <v>12</v>
      </c>
      <c r="S138" s="136" t="n">
        <v>18</v>
      </c>
      <c r="T138" s="136" t="n">
        <v>3</v>
      </c>
      <c r="U138" s="136" t="n">
        <v>3</v>
      </c>
      <c r="V138" s="136" t="inlineStr">
        <is>
          <t>统招本科</t>
        </is>
      </c>
      <c r="W138" s="140" t="n">
        <v>43639</v>
      </c>
      <c r="X138" s="136" t="inlineStr">
        <is>
          <t>江苏海洋大学</t>
        </is>
      </c>
      <c r="Y138" s="136" t="inlineStr">
        <is>
          <t>614992892@qq.com</t>
        </is>
      </c>
      <c r="Z138" s="136" t="inlineStr">
        <is>
          <t>/</t>
        </is>
      </c>
      <c r="AA138" s="136" t="inlineStr">
        <is>
          <t>/</t>
        </is>
      </c>
      <c r="AB138" s="136" t="n">
        <v>15305279889</v>
      </c>
      <c r="AC138" s="136" t="inlineStr">
        <is>
          <t>’321002199611100318</t>
        </is>
      </c>
      <c r="AD138" s="136" t="inlineStr">
        <is>
          <t>/</t>
        </is>
      </c>
      <c r="AF138" s="160" t="n"/>
    </row>
    <row r="139" customFormat="1" s="136">
      <c r="A139" s="136" t="inlineStr">
        <is>
          <t>第90个脱敏</t>
        </is>
      </c>
      <c r="B139" s="136" t="inlineStr">
        <is>
          <t>施磊</t>
        </is>
      </c>
      <c r="C139" s="136" t="inlineStr">
        <is>
          <t>20221101离职</t>
        </is>
      </c>
      <c r="D139" s="136" t="inlineStr">
        <is>
          <t xml:space="preserve"> 外场测试</t>
        </is>
      </c>
      <c r="E139" s="140" t="n">
        <v>44833</v>
      </c>
      <c r="F139" s="136" t="inlineStr">
        <is>
          <t>2022.12.28</t>
        </is>
      </c>
      <c r="G139" s="627" t="n">
        <v>2022.1</v>
      </c>
      <c r="H139" s="136" t="inlineStr">
        <is>
          <t>南京</t>
        </is>
      </c>
      <c r="I139" s="136" t="inlineStr">
        <is>
          <t>南京</t>
        </is>
      </c>
      <c r="J139" s="136" t="n">
        <v>5600</v>
      </c>
      <c r="K139" s="136" t="n">
        <v>7000</v>
      </c>
      <c r="L139" s="136" t="n">
        <v>4250</v>
      </c>
      <c r="M139" s="136" t="inlineStr">
        <is>
          <t>2800（公司10%）</t>
        </is>
      </c>
      <c r="P139" s="136" t="inlineStr">
        <is>
          <t>文石50/月</t>
        </is>
      </c>
      <c r="Q139" s="136" t="n">
        <v>18</v>
      </c>
      <c r="R139" s="136" t="n">
        <v>12</v>
      </c>
      <c r="S139" s="136" t="n">
        <v>18</v>
      </c>
      <c r="T139" s="136" t="n">
        <v>3</v>
      </c>
      <c r="U139" s="136" t="n">
        <v>3</v>
      </c>
      <c r="V139" s="136" t="inlineStr">
        <is>
          <t>统招大专</t>
        </is>
      </c>
      <c r="W139" s="140" t="n">
        <v>41457</v>
      </c>
      <c r="X139" s="136" t="inlineStr">
        <is>
          <t>淮南职业技术学院</t>
        </is>
      </c>
      <c r="Y139" s="159" t="inlineStr">
        <is>
          <t>1097479862@qq.com</t>
        </is>
      </c>
      <c r="Z139" s="136" t="inlineStr">
        <is>
          <t>南京市建邺区莲花北苑22栋3单元1109室</t>
        </is>
      </c>
      <c r="AA139" s="136" t="inlineStr">
        <is>
          <t>南京市建邺区莲花北苑22栋3单元1109室</t>
        </is>
      </c>
      <c r="AB139" s="136" t="n">
        <v>18856355832</v>
      </c>
      <c r="AC139" s="136" t="inlineStr">
        <is>
          <t>,342501199010165218</t>
        </is>
      </c>
      <c r="AD139" s="136" t="inlineStr">
        <is>
          <t>施磊建行6217001370055796940</t>
        </is>
      </c>
      <c r="AE139" s="136" t="inlineStr">
        <is>
          <t>医保卡1891403671</t>
        </is>
      </c>
      <c r="AF139" s="160" t="n"/>
    </row>
    <row r="140" customFormat="1" s="136">
      <c r="A140" s="136" t="inlineStr">
        <is>
          <t>第91个脱敏</t>
        </is>
      </c>
      <c r="B140" s="136" t="inlineStr">
        <is>
          <t>毛爱芬</t>
        </is>
      </c>
      <c r="C140" s="136" t="inlineStr">
        <is>
          <t>公积金3201000411562065</t>
        </is>
      </c>
      <c r="D140" s="136" t="inlineStr">
        <is>
          <t>软件质量工程师SQA</t>
        </is>
      </c>
      <c r="E140" s="140" t="n">
        <v>44859</v>
      </c>
      <c r="F140" s="136" t="inlineStr">
        <is>
          <t>2023.1.24</t>
        </is>
      </c>
      <c r="G140" s="627" t="n">
        <v>2022.11</v>
      </c>
      <c r="H140" s="136" t="inlineStr">
        <is>
          <t>南京</t>
        </is>
      </c>
      <c r="I140" s="136" t="inlineStr">
        <is>
          <t>南京</t>
        </is>
      </c>
      <c r="J140" s="136" t="n">
        <v>12800</v>
      </c>
      <c r="K140" s="136" t="n">
        <v>16000</v>
      </c>
      <c r="L140" s="136" t="n">
        <v>4250</v>
      </c>
      <c r="M140" s="136" t="inlineStr">
        <is>
          <t>6400（公司10%）</t>
        </is>
      </c>
      <c r="P140" s="136" t="inlineStr">
        <is>
          <t>文石50/月</t>
        </is>
      </c>
      <c r="Q140" s="136" t="n">
        <v>18</v>
      </c>
      <c r="R140" s="136" t="n">
        <v>12</v>
      </c>
      <c r="S140" s="136" t="n">
        <v>18</v>
      </c>
      <c r="T140" s="136" t="n">
        <v>3</v>
      </c>
      <c r="U140" s="136" t="n">
        <v>3</v>
      </c>
      <c r="V140" s="136" t="inlineStr">
        <is>
          <t>阜阳师范大学</t>
        </is>
      </c>
      <c r="W140" s="136" t="inlineStr">
        <is>
          <t>2017.7.1</t>
        </is>
      </c>
      <c r="X140" s="136" t="inlineStr">
        <is>
          <t>阜阳师范大学</t>
        </is>
      </c>
      <c r="Y140" s="136" t="inlineStr">
        <is>
          <t>675436254@qq.com</t>
        </is>
      </c>
      <c r="Z140" s="136" t="inlineStr">
        <is>
          <t>南京市秦淮区风光里131号1102室</t>
        </is>
      </c>
      <c r="AA140" s="136" t="inlineStr">
        <is>
          <t>南京市秦淮区风光里131号1102室</t>
        </is>
      </c>
      <c r="AB140" s="136" t="n">
        <v>18651608802</v>
      </c>
      <c r="AC140" s="521" t="inlineStr">
        <is>
          <t>342601199501080249</t>
        </is>
      </c>
      <c r="AD140" s="136" t="inlineStr">
        <is>
          <t>毛爱芬建行6217001370055945885</t>
        </is>
      </c>
      <c r="AE140" s="136" t="inlineStr">
        <is>
          <t>医保卡1886475140</t>
        </is>
      </c>
      <c r="AF140" s="160" t="inlineStr">
        <is>
          <t>公积金3201000411562065</t>
        </is>
      </c>
    </row>
    <row r="141" customFormat="1" s="136">
      <c r="A141" s="136" t="inlineStr">
        <is>
          <t>第92个脱敏</t>
        </is>
      </c>
      <c r="B141" s="136" t="inlineStr">
        <is>
          <t>李丽娜</t>
        </is>
      </c>
      <c r="C141" s="136" t="inlineStr">
        <is>
          <t>公积金李丽娜3201000224187071</t>
        </is>
      </c>
      <c r="D141" s="136" t="inlineStr">
        <is>
          <t>Android framework</t>
        </is>
      </c>
      <c r="E141" s="136" t="inlineStr">
        <is>
          <t>2022.11.14</t>
        </is>
      </c>
      <c r="F141" s="136" t="inlineStr">
        <is>
          <t>2023.2.13</t>
        </is>
      </c>
      <c r="G141" s="627" t="n">
        <v>2022.1</v>
      </c>
      <c r="H141" s="136" t="inlineStr">
        <is>
          <t>南京</t>
        </is>
      </c>
      <c r="I141" s="136" t="inlineStr">
        <is>
          <t>南京</t>
        </is>
      </c>
      <c r="J141" s="136" t="n">
        <v>25200</v>
      </c>
      <c r="K141" s="136" t="n">
        <v>28000</v>
      </c>
      <c r="L141" s="136" t="n">
        <v>4250</v>
      </c>
      <c r="M141" s="136" t="inlineStr">
        <is>
          <t>2280（10%）</t>
        </is>
      </c>
      <c r="P141" s="136" t="inlineStr">
        <is>
          <t>文石50/月</t>
        </is>
      </c>
      <c r="Q141" s="136" t="n">
        <v>18</v>
      </c>
      <c r="R141" s="136" t="n">
        <v>12</v>
      </c>
      <c r="S141" s="136" t="n">
        <v>18</v>
      </c>
      <c r="T141" s="136" t="n">
        <v>3</v>
      </c>
      <c r="U141" s="136" t="n">
        <v>3</v>
      </c>
      <c r="V141" s="136" t="inlineStr">
        <is>
          <t>硕士</t>
        </is>
      </c>
      <c r="W141" s="136" t="inlineStr">
        <is>
          <t>2008.7.1</t>
        </is>
      </c>
      <c r="X141" s="136" t="inlineStr">
        <is>
          <t>南京航空航天大学</t>
        </is>
      </c>
      <c r="Y141" s="136" t="inlineStr">
        <is>
          <t>llna10@126.com</t>
        </is>
      </c>
      <c r="Z141" s="136" t="inlineStr">
        <is>
          <t>南京市白下区御道街29号</t>
        </is>
      </c>
      <c r="AA141" s="136" t="inlineStr">
        <is>
          <t>南京市白下区御道街29号</t>
        </is>
      </c>
      <c r="AB141" s="136" t="n">
        <v>13813974603</v>
      </c>
      <c r="AC141" s="521" t="inlineStr">
        <is>
          <t>350221198109022027</t>
        </is>
      </c>
      <c r="AD141" s="136" t="inlineStr">
        <is>
          <t>李丽娜建行：6227001375390213500</t>
        </is>
      </c>
      <c r="AE141" s="136" t="inlineStr">
        <is>
          <t>医保卡1881376732</t>
        </is>
      </c>
      <c r="AF141" s="160" t="inlineStr">
        <is>
          <t>公积金3201000224187071</t>
        </is>
      </c>
    </row>
    <row r="142" customFormat="1" s="136">
      <c r="A142" s="136" t="inlineStr">
        <is>
          <t>第93个脱敏</t>
        </is>
      </c>
      <c r="B142" s="136" t="inlineStr">
        <is>
          <t>刘智杰</t>
        </is>
      </c>
      <c r="D142" s="136" t="inlineStr">
        <is>
          <t>多媒体开发工程师</t>
        </is>
      </c>
      <c r="E142" s="136" t="inlineStr">
        <is>
          <t>2022.10.21</t>
        </is>
      </c>
      <c r="F142" s="136" t="inlineStr">
        <is>
          <t>2023.1.20</t>
        </is>
      </c>
      <c r="G142" s="627" t="n">
        <v>2022.11</v>
      </c>
      <c r="H142" s="136" t="inlineStr">
        <is>
          <t>南京</t>
        </is>
      </c>
      <c r="I142" s="136" t="inlineStr">
        <is>
          <t>南京</t>
        </is>
      </c>
      <c r="J142" s="136" t="n">
        <v>8400</v>
      </c>
      <c r="K142" s="136" t="n">
        <v>10500</v>
      </c>
      <c r="L142" s="136" t="n">
        <v>4250</v>
      </c>
      <c r="M142" s="136" t="inlineStr">
        <is>
          <t>2280（10%）</t>
        </is>
      </c>
      <c r="P142" s="136" t="inlineStr">
        <is>
          <t>文石50/月</t>
        </is>
      </c>
      <c r="Q142" s="136" t="n">
        <v>0</v>
      </c>
      <c r="R142" s="136" t="n">
        <v>0</v>
      </c>
      <c r="S142" s="136" t="n">
        <v>18</v>
      </c>
      <c r="T142" s="136" t="n">
        <v>3</v>
      </c>
      <c r="U142" s="136" t="n">
        <v>3</v>
      </c>
      <c r="V142" s="136" t="inlineStr">
        <is>
          <t>本科</t>
        </is>
      </c>
      <c r="W142" s="140" t="n">
        <v>44377</v>
      </c>
      <c r="X142" s="136" t="inlineStr">
        <is>
          <t>安徽中医药大学</t>
        </is>
      </c>
      <c r="Y142" s="159" t="inlineStr">
        <is>
          <t>1793486689@qq.com</t>
        </is>
      </c>
      <c r="Z142" s="136" t="inlineStr">
        <is>
          <t>安徽省滁州市南谯区稻香路17号1幢303室</t>
        </is>
      </c>
      <c r="AA142" s="136" t="inlineStr">
        <is>
          <t>安徽省滁州市南谯区稻香路17号1幢303室</t>
        </is>
      </c>
      <c r="AB142" s="136" t="n">
        <v>18905501276</v>
      </c>
      <c r="AC142" s="521" t="inlineStr">
        <is>
          <t>341182199805164812</t>
        </is>
      </c>
      <c r="AD142" s="136" t="inlineStr">
        <is>
          <t>刘智杰建行：6217001720004828923</t>
        </is>
      </c>
      <c r="AE142" s="136" t="inlineStr">
        <is>
          <t>医保卡1891873408</t>
        </is>
      </c>
      <c r="AF142" s="160" t="inlineStr">
        <is>
          <t>公积金3201000570029932</t>
        </is>
      </c>
    </row>
    <row r="143" customFormat="1" s="136">
      <c r="A143" s="136" t="inlineStr">
        <is>
          <t>第94个脱敏</t>
        </is>
      </c>
      <c r="B143" s="136" t="inlineStr">
        <is>
          <t>徐垒</t>
        </is>
      </c>
      <c r="C143" s="136" t="inlineStr">
        <is>
          <t>公积金3201000352578099</t>
        </is>
      </c>
      <c r="D143" s="136" t="inlineStr">
        <is>
          <t>应用软件工程师</t>
        </is>
      </c>
      <c r="E143" s="140" t="n">
        <v>44860</v>
      </c>
      <c r="F143" s="140" t="n">
        <v>44951</v>
      </c>
      <c r="G143" s="627" t="n">
        <v>2022.11</v>
      </c>
      <c r="H143" s="136" t="inlineStr">
        <is>
          <t>南京</t>
        </is>
      </c>
      <c r="I143" s="136" t="inlineStr">
        <is>
          <t>南京</t>
        </is>
      </c>
      <c r="J143" s="136" t="n">
        <v>21000</v>
      </c>
      <c r="K143" s="136" t="n">
        <v>21000</v>
      </c>
      <c r="L143" s="136" t="n">
        <v>4250</v>
      </c>
      <c r="M143" s="136" t="inlineStr">
        <is>
          <t>2280（10%）</t>
        </is>
      </c>
      <c r="P143" s="136" t="inlineStr">
        <is>
          <t>文石50/月</t>
        </is>
      </c>
      <c r="Q143" s="136" t="n">
        <v>0</v>
      </c>
      <c r="R143" s="136" t="n">
        <v>0</v>
      </c>
      <c r="S143" s="136" t="n">
        <v>18</v>
      </c>
      <c r="T143" s="136" t="n">
        <v>3</v>
      </c>
      <c r="U143" s="136" t="n">
        <v>3</v>
      </c>
      <c r="V143" s="136" t="inlineStr">
        <is>
          <t>全日制本科</t>
        </is>
      </c>
      <c r="W143" s="140" t="n">
        <v>41810</v>
      </c>
      <c r="X143" s="136" t="inlineStr">
        <is>
          <t>南京信息工程大学</t>
        </is>
      </c>
      <c r="Y143" s="159" t="inlineStr">
        <is>
          <t>1411445848@qq.com</t>
        </is>
      </c>
      <c r="Z143" s="136" t="inlineStr">
        <is>
          <t>江苏省常熟市碧溪镇新苑村（17）塘湾角3号</t>
        </is>
      </c>
      <c r="AA143" s="136" t="inlineStr">
        <is>
          <t>江苏省常熟市碧溪镇新苑村（17）塘湾角3号</t>
        </is>
      </c>
      <c r="AB143" s="136" t="n">
        <v>15852910218</v>
      </c>
      <c r="AC143" s="521" t="inlineStr">
        <is>
          <t>320581199112183317</t>
        </is>
      </c>
      <c r="AD143" s="136" t="inlineStr">
        <is>
          <t>徐垒建行：6236691370000699954</t>
        </is>
      </c>
      <c r="AF143" s="160" t="n"/>
    </row>
    <row r="144" customFormat="1" s="136">
      <c r="A144" s="136" t="inlineStr">
        <is>
          <t>第95个脱敏</t>
        </is>
      </c>
      <c r="B144" s="136" t="inlineStr">
        <is>
          <t>马文阳（无任何补贴） 从未入职</t>
        </is>
      </c>
      <c r="D144" s="136" t="inlineStr">
        <is>
          <t>通信协议测试工程师</t>
        </is>
      </c>
      <c r="E144" s="140" t="n">
        <v>44903</v>
      </c>
      <c r="F144" s="140" t="n">
        <v>44992</v>
      </c>
      <c r="G144" s="627" t="n">
        <v>2022.12</v>
      </c>
      <c r="H144" s="136" t="inlineStr">
        <is>
          <t>南京</t>
        </is>
      </c>
      <c r="I144" s="136" t="inlineStr">
        <is>
          <t>南京</t>
        </is>
      </c>
      <c r="J144" s="136" t="n">
        <v>8800</v>
      </c>
      <c r="K144" s="136" t="n">
        <v>11000</v>
      </c>
      <c r="L144" s="136" t="n">
        <v>6520</v>
      </c>
      <c r="M144" s="136" t="n">
        <v>2590</v>
      </c>
      <c r="P144" s="136" t="inlineStr">
        <is>
          <t>邦芒50/月</t>
        </is>
      </c>
      <c r="Q144" s="136" t="n">
        <v>0</v>
      </c>
      <c r="R144" s="136" t="n">
        <v>0</v>
      </c>
      <c r="S144" s="136" t="n">
        <v>0</v>
      </c>
      <c r="T144" s="136" t="n">
        <v>3</v>
      </c>
      <c r="U144" s="136" t="n">
        <v>3</v>
      </c>
      <c r="V144" s="136" t="inlineStr">
        <is>
          <t>统招本科</t>
        </is>
      </c>
      <c r="W144" s="140" t="n">
        <v>44013</v>
      </c>
      <c r="X144" s="136" t="inlineStr">
        <is>
          <t>沈阳工程学院</t>
        </is>
      </c>
      <c r="Y144" s="136" t="inlineStr">
        <is>
          <t>2471821841@qq.com</t>
        </is>
      </c>
      <c r="Z144" s="136" t="inlineStr">
        <is>
          <t>辽宁省建平县太平庄乡太平庄村7-053号</t>
        </is>
      </c>
      <c r="AA144" s="136" t="inlineStr">
        <is>
          <t>辽宁省建平县太平庄乡太平庄村7-053号</t>
        </is>
      </c>
      <c r="AB144" s="136" t="n">
        <v>18842132728</v>
      </c>
      <c r="AC144" s="136" t="inlineStr">
        <is>
          <t>‘21132219981205801X</t>
        </is>
      </c>
      <c r="AD144" s="136" t="inlineStr">
        <is>
          <t>马文阳建行6217000730007303874</t>
        </is>
      </c>
      <c r="AF144" s="160" t="n"/>
    </row>
    <row r="145" customFormat="1" s="136">
      <c r="A145" s="136" t="inlineStr">
        <is>
          <t>第96个脱敏</t>
        </is>
      </c>
      <c r="B145" s="136" t="inlineStr">
        <is>
          <t>王玉霞</t>
        </is>
      </c>
      <c r="C145" s="136" t="inlineStr">
        <is>
          <t>公积金3201000391025482</t>
        </is>
      </c>
      <c r="D145" s="136" t="inlineStr">
        <is>
          <t>软件测试工程师（终端方向）</t>
        </is>
      </c>
      <c r="E145" s="140" t="n">
        <v>44881</v>
      </c>
      <c r="F145" s="140" t="n">
        <v>44972</v>
      </c>
      <c r="G145" s="627" t="n">
        <v>2022.12</v>
      </c>
      <c r="H145" s="136" t="inlineStr">
        <is>
          <t>南京</t>
        </is>
      </c>
      <c r="I145" s="136" t="inlineStr">
        <is>
          <t>南京</t>
        </is>
      </c>
      <c r="J145" s="136" t="n">
        <v>11600</v>
      </c>
      <c r="K145" s="136" t="n">
        <v>14500</v>
      </c>
      <c r="L145" s="136" t="n">
        <v>4250</v>
      </c>
      <c r="M145" s="136" t="inlineStr">
        <is>
          <t>2280（10%）</t>
        </is>
      </c>
      <c r="P145" s="136" t="inlineStr">
        <is>
          <t>文石50/月</t>
        </is>
      </c>
      <c r="Q145" s="136" t="n">
        <v>18</v>
      </c>
      <c r="R145" s="136" t="n">
        <v>12</v>
      </c>
      <c r="S145" s="136" t="n">
        <v>18</v>
      </c>
      <c r="T145" s="136" t="n">
        <v>3</v>
      </c>
      <c r="U145" s="136" t="n">
        <v>3</v>
      </c>
      <c r="V145" s="136" t="inlineStr">
        <is>
          <t>统招本科</t>
        </is>
      </c>
      <c r="W145" s="140" t="n">
        <v>42522</v>
      </c>
      <c r="X145" s="136" t="inlineStr">
        <is>
          <t xml:space="preserve"> 广东海洋大学</t>
        </is>
      </c>
      <c r="Y145" s="159" t="inlineStr">
        <is>
          <t>2849151785@qq.com</t>
        </is>
      </c>
      <c r="Z145" s="136" t="inlineStr">
        <is>
          <t>山西省新绛县龙兴镇王庄村第二组</t>
        </is>
      </c>
      <c r="AA145" s="136" t="inlineStr">
        <is>
          <t>山西省新绛县龙兴镇王庄村第二组</t>
        </is>
      </c>
      <c r="AB145" s="136" t="n">
        <v>15161456551</v>
      </c>
      <c r="AC145" s="521" t="inlineStr">
        <is>
          <t>142726199410190026</t>
        </is>
      </c>
      <c r="AD145" s="136" t="inlineStr">
        <is>
          <t>王玉霞建行：6236691370003273567</t>
        </is>
      </c>
      <c r="AE145" s="136" t="inlineStr">
        <is>
          <t>医保卡1881694706</t>
        </is>
      </c>
      <c r="AF145" s="160" t="n"/>
    </row>
    <row r="146" customFormat="1" s="136">
      <c r="A146" s="136" t="inlineStr">
        <is>
          <t>第97个脱敏</t>
        </is>
      </c>
      <c r="B146" s="136" t="inlineStr">
        <is>
          <t>张涛</t>
        </is>
      </c>
      <c r="C146" s="136" t="inlineStr">
        <is>
          <t>公积金3201000431973605</t>
        </is>
      </c>
      <c r="D146" s="136" t="inlineStr">
        <is>
          <t>多媒体开发工程师</t>
        </is>
      </c>
      <c r="E146" s="140" t="n">
        <v>44887</v>
      </c>
      <c r="F146" s="140" t="n">
        <v>44978</v>
      </c>
      <c r="G146" s="627" t="n">
        <v>2022.12</v>
      </c>
      <c r="H146" s="136" t="inlineStr">
        <is>
          <t>南京</t>
        </is>
      </c>
      <c r="I146" s="136" t="inlineStr">
        <is>
          <t>南京</t>
        </is>
      </c>
      <c r="J146" s="136" t="n">
        <v>20700</v>
      </c>
      <c r="K146" s="136" t="n">
        <v>23000</v>
      </c>
      <c r="L146" s="136" t="n">
        <v>4250</v>
      </c>
      <c r="M146" s="160" t="inlineStr">
        <is>
          <t>5000*10%（公司承担最低基数，多出部分员工自行承担）</t>
        </is>
      </c>
      <c r="P146" s="136" t="inlineStr">
        <is>
          <t>文石50/月</t>
        </is>
      </c>
      <c r="Q146" s="136" t="n">
        <v>0</v>
      </c>
      <c r="R146" s="136" t="n">
        <v>0</v>
      </c>
      <c r="S146" s="136" t="n">
        <v>18</v>
      </c>
      <c r="T146" s="136" t="n">
        <v>3</v>
      </c>
      <c r="U146" s="136" t="n">
        <v>3</v>
      </c>
      <c r="V146" s="136" t="inlineStr">
        <is>
          <t>本科</t>
        </is>
      </c>
      <c r="W146" s="140" t="n">
        <v>42195</v>
      </c>
      <c r="X146" s="136" t="inlineStr">
        <is>
          <t>金陵科技学院</t>
        </is>
      </c>
      <c r="Y146" s="159" t="inlineStr">
        <is>
          <t>jakesparo@163.com</t>
        </is>
      </c>
      <c r="Z146" s="136" t="inlineStr">
        <is>
          <t>南京市江宁区禄口街道埂方村方边47号</t>
        </is>
      </c>
      <c r="AA146" s="136" t="inlineStr">
        <is>
          <t>南京市江宁区禄口街道埂方村方边47号</t>
        </is>
      </c>
      <c r="AB146" s="136" t="n">
        <v>18112939015</v>
      </c>
      <c r="AC146" s="521" t="inlineStr">
        <is>
          <t>320121199209133131</t>
        </is>
      </c>
      <c r="AD146" s="136" t="inlineStr">
        <is>
          <t>张涛建行：6215340302618824772</t>
        </is>
      </c>
      <c r="AF146" s="160" t="inlineStr">
        <is>
          <t>公积金3201000431973605</t>
        </is>
      </c>
    </row>
    <row r="147" customFormat="1" s="136">
      <c r="A147" s="136" t="inlineStr">
        <is>
          <t>第98个脱敏</t>
        </is>
      </c>
      <c r="B147" s="136" t="inlineStr">
        <is>
          <t>章凌磊</t>
        </is>
      </c>
      <c r="C147" s="136" t="inlineStr">
        <is>
          <t>公积金3201000387518268</t>
        </is>
      </c>
      <c r="D147" s="136" t="inlineStr">
        <is>
          <t>软件测试工程师（终端方向）</t>
        </is>
      </c>
      <c r="E147" s="140" t="n">
        <v>44895</v>
      </c>
      <c r="F147" s="140" t="inlineStr">
        <is>
          <t>2023/2/29</t>
        </is>
      </c>
      <c r="G147" s="627" t="n">
        <v>2022.12</v>
      </c>
      <c r="H147" s="136" t="inlineStr">
        <is>
          <t>南京</t>
        </is>
      </c>
      <c r="I147" s="136" t="inlineStr">
        <is>
          <t>南京</t>
        </is>
      </c>
      <c r="J147" s="136" t="n">
        <v>14400</v>
      </c>
      <c r="K147" s="136" t="n">
        <v>18000</v>
      </c>
      <c r="L147" s="136" t="n">
        <v>4250</v>
      </c>
      <c r="M147" s="160" t="inlineStr">
        <is>
          <t>5000*10%（公司承担最低基数，多出部分员工自行承担）</t>
        </is>
      </c>
      <c r="P147" s="136" t="inlineStr">
        <is>
          <t>文石50/月</t>
        </is>
      </c>
      <c r="Q147" s="136" t="n">
        <v>18</v>
      </c>
      <c r="R147" s="136" t="n">
        <v>12</v>
      </c>
      <c r="S147" s="136" t="n">
        <v>18</v>
      </c>
      <c r="T147" s="136" t="n">
        <v>3</v>
      </c>
      <c r="U147" s="136" t="n">
        <v>3</v>
      </c>
      <c r="V147" s="136" t="inlineStr">
        <is>
          <t>统招本科</t>
        </is>
      </c>
      <c r="W147" s="140" t="n">
        <v>42552</v>
      </c>
      <c r="X147" s="136" t="inlineStr">
        <is>
          <t>安徽新华学院</t>
        </is>
      </c>
      <c r="Y147" s="136" t="inlineStr">
        <is>
          <t xml:space="preserve">  289271619@qq.com</t>
        </is>
      </c>
      <c r="Z147" s="136" t="inlineStr">
        <is>
          <t>安徽省马鞍山市雨山区雨东村38栋201号</t>
        </is>
      </c>
      <c r="AA147" s="136" t="inlineStr">
        <is>
          <t>安徽省马鞍山市雨山区雨东村38栋201号</t>
        </is>
      </c>
      <c r="AB147" s="136" t="n">
        <v>18115182991</v>
      </c>
      <c r="AC147" s="521" t="inlineStr">
        <is>
          <t>340504199306180617</t>
        </is>
      </c>
      <c r="AD147" s="136" t="inlineStr">
        <is>
          <t>章凌磊建行6217001370048199665</t>
        </is>
      </c>
      <c r="AE147" s="136" t="inlineStr">
        <is>
          <t>医保卡1885700581</t>
        </is>
      </c>
      <c r="AF147" s="160" t="n"/>
    </row>
    <row r="148" customFormat="1" s="136">
      <c r="A148" s="136" t="inlineStr">
        <is>
          <t>第99个脱敏</t>
        </is>
      </c>
      <c r="B148" s="136" t="inlineStr">
        <is>
          <t>接兆君</t>
        </is>
      </c>
      <c r="D148" s="136" t="inlineStr">
        <is>
          <t>开发工程师</t>
        </is>
      </c>
      <c r="E148" s="140" t="n">
        <v>44958</v>
      </c>
      <c r="F148" s="140" t="n">
        <v>44958</v>
      </c>
      <c r="G148" s="627" t="n">
        <v>2023.02</v>
      </c>
      <c r="H148" s="136" t="inlineStr">
        <is>
          <t>大连</t>
        </is>
      </c>
      <c r="I148" s="136" t="inlineStr">
        <is>
          <t>大连</t>
        </is>
      </c>
      <c r="J148" s="136" t="n">
        <v>17000</v>
      </c>
      <c r="K148" s="136" t="n">
        <v>17000</v>
      </c>
      <c r="L148" s="136" t="n">
        <v>6800</v>
      </c>
      <c r="M148" s="136" t="n">
        <v>13600</v>
      </c>
      <c r="P148" s="136" t="inlineStr">
        <is>
          <t>邦芒50/月</t>
        </is>
      </c>
      <c r="Q148" s="136" t="n">
        <v>18</v>
      </c>
      <c r="R148" s="136" t="n">
        <v>12</v>
      </c>
      <c r="S148" s="136" t="n">
        <v>0</v>
      </c>
      <c r="T148" s="136" t="n">
        <v>3</v>
      </c>
      <c r="U148" s="136" t="inlineStr">
        <is>
          <t>0 无试用期</t>
        </is>
      </c>
      <c r="V148" s="136" t="inlineStr">
        <is>
          <t>本科</t>
        </is>
      </c>
      <c r="W148" s="140" t="n">
        <v>41456</v>
      </c>
      <c r="X148" s="136" t="inlineStr">
        <is>
          <t>辽宁大学</t>
        </is>
      </c>
      <c r="Y148" s="136" t="inlineStr">
        <is>
          <t>1304840549@qq.com</t>
        </is>
      </c>
      <c r="Z148" s="136" t="inlineStr">
        <is>
          <t>辽宁省大连市旅顺口区中牧路523号</t>
        </is>
      </c>
      <c r="AA148" s="136" t="inlineStr">
        <is>
          <t>辽宁省大连市甘井子区黄浦路901号河口软件园F3 楼</t>
        </is>
      </c>
      <c r="AB148" s="136" t="n">
        <v>15164080256</v>
      </c>
      <c r="AC148" s="521" t="inlineStr">
        <is>
          <t>210212198912212519</t>
        </is>
      </c>
      <c r="AD148" s="136" t="inlineStr">
        <is>
          <t>接兆君建行：6217000780049748057</t>
        </is>
      </c>
      <c r="AF148" s="160" t="n"/>
    </row>
    <row r="149" customFormat="1" s="136">
      <c r="A149" s="136" t="inlineStr">
        <is>
          <t>第100个脱敏</t>
        </is>
      </c>
      <c r="B149" s="136" t="inlineStr">
        <is>
          <t>陈华营</t>
        </is>
      </c>
      <c r="D149" s="136" t="inlineStr">
        <is>
          <t>开发工程师</t>
        </is>
      </c>
      <c r="E149" s="140" t="n">
        <v>44958</v>
      </c>
      <c r="F149" s="140" t="n">
        <v>44958</v>
      </c>
      <c r="G149" s="136" t="n">
        <v>2023.02</v>
      </c>
      <c r="H149" s="136" t="inlineStr">
        <is>
          <t>大连</t>
        </is>
      </c>
      <c r="I149" s="136" t="inlineStr">
        <is>
          <t>大连</t>
        </is>
      </c>
      <c r="J149" s="136" t="n">
        <v>23000</v>
      </c>
      <c r="K149" s="136" t="n">
        <v>23000</v>
      </c>
      <c r="L149" s="136" t="n">
        <v>9200</v>
      </c>
      <c r="M149" s="136" t="n">
        <v>18400</v>
      </c>
      <c r="P149" s="136" t="inlineStr">
        <is>
          <t>邦芒50/月</t>
        </is>
      </c>
      <c r="Q149" s="136" t="n">
        <v>18</v>
      </c>
      <c r="R149" s="136" t="n">
        <v>12</v>
      </c>
      <c r="S149" s="136" t="n">
        <v>0</v>
      </c>
      <c r="T149" s="136" t="n">
        <v>3</v>
      </c>
      <c r="U149" s="136" t="inlineStr">
        <is>
          <t>0 无试用期</t>
        </is>
      </c>
      <c r="V149" s="136" t="inlineStr">
        <is>
          <t>本科</t>
        </is>
      </c>
      <c r="W149" s="140" t="n">
        <v>38534</v>
      </c>
      <c r="X149" s="136" t="inlineStr">
        <is>
          <t>大连理工大学</t>
        </is>
      </c>
      <c r="Y149" s="136" t="inlineStr">
        <is>
          <t>747610165@qq.com</t>
        </is>
      </c>
      <c r="Z149" s="136" t="inlineStr">
        <is>
          <t>辽宁省大石桥市石佛镇聚宝村2号1-24</t>
        </is>
      </c>
      <c r="AA149" s="136" t="inlineStr">
        <is>
          <t>辽宁省大连市高新园区中铁诺德滨海花园B区1#2单元</t>
        </is>
      </c>
      <c r="AB149" s="136" t="n">
        <v>15842686171</v>
      </c>
      <c r="AC149" s="521" t="inlineStr">
        <is>
          <t>210882198209032438</t>
        </is>
      </c>
      <c r="AD149" s="136" t="inlineStr">
        <is>
          <t>陈华营建行：6217000780056437875</t>
        </is>
      </c>
      <c r="AF149" s="160" t="n"/>
    </row>
  </sheetData>
  <autoFilter ref="A3:AH41"/>
  <mergeCells count="28">
    <mergeCell ref="Q38:S38"/>
    <mergeCell ref="Q29:S29"/>
    <mergeCell ref="Q35:S35"/>
    <mergeCell ref="Q60:S60"/>
    <mergeCell ref="Q40:S40"/>
    <mergeCell ref="Q31:S31"/>
    <mergeCell ref="Q34:S34"/>
    <mergeCell ref="Q59:S59"/>
    <mergeCell ref="Q65:S65"/>
    <mergeCell ref="Q36:S36"/>
    <mergeCell ref="Q30:S30"/>
    <mergeCell ref="Q131:R131"/>
    <mergeCell ref="A1:P1"/>
    <mergeCell ref="Q32:S32"/>
    <mergeCell ref="Q66:S66"/>
    <mergeCell ref="Q56:S56"/>
    <mergeCell ref="Q53:S53"/>
    <mergeCell ref="Q47:S47"/>
    <mergeCell ref="Q3:S3"/>
    <mergeCell ref="J3:K3"/>
    <mergeCell ref="Q68:S68"/>
    <mergeCell ref="Q37:S37"/>
    <mergeCell ref="Q33:S33"/>
    <mergeCell ref="Q54:S54"/>
    <mergeCell ref="Q39:S39"/>
    <mergeCell ref="Q8:S8"/>
    <mergeCell ref="J8:K8"/>
    <mergeCell ref="Q64:S64"/>
  </mergeCells>
  <hyperlinks>
    <hyperlink xmlns:r="http://schemas.openxmlformats.org/officeDocument/2006/relationships" ref="Y9" display="670952083@qq.com" r:id="rId1"/>
    <hyperlink xmlns:r="http://schemas.openxmlformats.org/officeDocument/2006/relationships" ref="Y12" display="1170469459@qq.com" r:id="rId2"/>
    <hyperlink xmlns:r="http://schemas.openxmlformats.org/officeDocument/2006/relationships" ref="Y13" display="1713084282@qq.com" r:id="rId3"/>
    <hyperlink xmlns:r="http://schemas.openxmlformats.org/officeDocument/2006/relationships" ref="Y14" display="1037388670@qq.com" r:id="rId4"/>
    <hyperlink xmlns:r="http://schemas.openxmlformats.org/officeDocument/2006/relationships" ref="Y15" display="2358336330@qq.com" r:id="rId5"/>
    <hyperlink xmlns:r="http://schemas.openxmlformats.org/officeDocument/2006/relationships" ref="Y17" display="842841666@qq.com" r:id="rId6"/>
    <hyperlink xmlns:r="http://schemas.openxmlformats.org/officeDocument/2006/relationships" ref="Y19" display="1279415685@qq.com" r:id="rId7"/>
    <hyperlink xmlns:r="http://schemas.openxmlformats.org/officeDocument/2006/relationships" ref="Y21" tooltip="mailto:411582961@qq.com" display="411582961@qq.com" r:id="rId8"/>
    <hyperlink xmlns:r="http://schemas.openxmlformats.org/officeDocument/2006/relationships" ref="Y22" display="2224847124@qq.com" r:id="rId9"/>
    <hyperlink xmlns:r="http://schemas.openxmlformats.org/officeDocument/2006/relationships" ref="Y23" display="1004559023@qq.com" r:id="rId10"/>
    <hyperlink xmlns:r="http://schemas.openxmlformats.org/officeDocument/2006/relationships" ref="Y26" display="1668919413@qq.com" r:id="rId11"/>
    <hyperlink xmlns:r="http://schemas.openxmlformats.org/officeDocument/2006/relationships" ref="Y27" tooltip="mailto:3215223483@qq.com" display="3215223483@qq.com" r:id="rId12"/>
    <hyperlink xmlns:r="http://schemas.openxmlformats.org/officeDocument/2006/relationships" ref="Y29" tooltip="mailto:hebeizhuojiu@163.com" display="hebeizhuojiu@163.com" r:id="rId13"/>
    <hyperlink xmlns:r="http://schemas.openxmlformats.org/officeDocument/2006/relationships" ref="Y30" tooltip="mailto:928207099@qq.com" display="928207099@qq.com" r:id="rId14"/>
    <hyperlink xmlns:r="http://schemas.openxmlformats.org/officeDocument/2006/relationships" ref="Y31" display="2601733655@qq.com" r:id="rId15"/>
    <hyperlink xmlns:r="http://schemas.openxmlformats.org/officeDocument/2006/relationships" ref="Y32" display="2718287284@qq.com" r:id="rId16"/>
    <hyperlink xmlns:r="http://schemas.openxmlformats.org/officeDocument/2006/relationships" ref="Y33" tooltip="mailto:1653228502@qq.com" display="1653228502@qq.com" r:id="rId17"/>
    <hyperlink xmlns:r="http://schemas.openxmlformats.org/officeDocument/2006/relationships" ref="Y34" display="1851651404@qq.com" r:id="rId18"/>
    <hyperlink xmlns:r="http://schemas.openxmlformats.org/officeDocument/2006/relationships" ref="Y35" display="1562497694@qq.com" r:id="rId19"/>
    <hyperlink xmlns:r="http://schemas.openxmlformats.org/officeDocument/2006/relationships" ref="Y36" display="10575229722@qq.com" r:id="rId20"/>
    <hyperlink xmlns:r="http://schemas.openxmlformats.org/officeDocument/2006/relationships" ref="Y37" display="451486266@qq.com" r:id="rId21"/>
    <hyperlink xmlns:r="http://schemas.openxmlformats.org/officeDocument/2006/relationships" ref="Y38" display="2284664380@qq.com" r:id="rId22"/>
    <hyperlink xmlns:r="http://schemas.openxmlformats.org/officeDocument/2006/relationships" ref="Y44" tooltip="mailto:1471911951@qq.com" display="1471911951@qq.com" r:id="rId23"/>
    <hyperlink xmlns:r="http://schemas.openxmlformats.org/officeDocument/2006/relationships" ref="Y45" tooltip="mailto:269386729@qq.com" display="269386729@qq.com" r:id="rId24"/>
    <hyperlink xmlns:r="http://schemas.openxmlformats.org/officeDocument/2006/relationships" ref="Y47" display="lct17610871620@163.com" r:id="rId25"/>
    <hyperlink xmlns:r="http://schemas.openxmlformats.org/officeDocument/2006/relationships" ref="Y51" display="694728662@qq.com" r:id="rId26"/>
    <hyperlink xmlns:r="http://schemas.openxmlformats.org/officeDocument/2006/relationships" ref="Y53" display="cairuizhang02@163.com" r:id="rId27"/>
    <hyperlink xmlns:r="http://schemas.openxmlformats.org/officeDocument/2006/relationships" ref="Y54" display="1663601726@qq.com" r:id="rId28"/>
    <hyperlink xmlns:r="http://schemas.openxmlformats.org/officeDocument/2006/relationships" ref="Y55" display="249615584@qq.com" r:id="rId29"/>
    <hyperlink xmlns:r="http://schemas.openxmlformats.org/officeDocument/2006/relationships" ref="Y56" display="zizhengxu@foxmail.com" r:id="rId30"/>
    <hyperlink xmlns:r="http://schemas.openxmlformats.org/officeDocument/2006/relationships" ref="Y62" tooltip="mailto:742593066@qq.com" display="742593066@qq.com" r:id="rId31"/>
    <hyperlink xmlns:r="http://schemas.openxmlformats.org/officeDocument/2006/relationships" ref="Y63" display="Smoonslee@163.com" r:id="rId32"/>
    <hyperlink xmlns:r="http://schemas.openxmlformats.org/officeDocument/2006/relationships" ref="Y67" display="879650201@qq.com" r:id="rId33"/>
    <hyperlink xmlns:r="http://schemas.openxmlformats.org/officeDocument/2006/relationships" ref="Y69" display="jianfu_wang0608@163.com" r:id="rId34"/>
    <hyperlink xmlns:r="http://schemas.openxmlformats.org/officeDocument/2006/relationships" ref="Y70" display="285901130@qq.com" r:id="rId35"/>
    <hyperlink xmlns:r="http://schemas.openxmlformats.org/officeDocument/2006/relationships" ref="Y71" display="1228378464@qq.com" r:id="rId36"/>
    <hyperlink xmlns:r="http://schemas.openxmlformats.org/officeDocument/2006/relationships" ref="Y72" display="1149081863@qq.com" r:id="rId37"/>
    <hyperlink xmlns:r="http://schemas.openxmlformats.org/officeDocument/2006/relationships" ref="Y74" display="ligongcheng@yeah.net" r:id="rId38"/>
    <hyperlink xmlns:r="http://schemas.openxmlformats.org/officeDocument/2006/relationships" ref="Y75" display="xiuxiu2293@sina.com" r:id="rId39"/>
    <hyperlink xmlns:r="http://schemas.openxmlformats.org/officeDocument/2006/relationships" ref="Y78" display="1447841876@qq.com" r:id="rId40"/>
    <hyperlink xmlns:r="http://schemas.openxmlformats.org/officeDocument/2006/relationships" ref="Y80" display="406318144@qq.com" r:id="rId41"/>
    <hyperlink xmlns:r="http://schemas.openxmlformats.org/officeDocument/2006/relationships" ref="Y81" display="1060726626@qq.com" r:id="rId42"/>
    <hyperlink xmlns:r="http://schemas.openxmlformats.org/officeDocument/2006/relationships" ref="Y85" display="li.sihong@foxmail.com" r:id="rId43"/>
    <hyperlink xmlns:r="http://schemas.openxmlformats.org/officeDocument/2006/relationships" ref="Y88" display="itsmyown@126.com" r:id="rId44"/>
    <hyperlink xmlns:r="http://schemas.openxmlformats.org/officeDocument/2006/relationships" ref="Y90" display="61716377@qq.com" r:id="rId45"/>
    <hyperlink xmlns:r="http://schemas.openxmlformats.org/officeDocument/2006/relationships" ref="Y91" tooltip="mailto:2607640313@qq.com" display="2607640313@qq.com" r:id="rId46"/>
    <hyperlink xmlns:r="http://schemas.openxmlformats.org/officeDocument/2006/relationships" ref="Y92" display="jt12132514@icloud.com" r:id="rId47"/>
    <hyperlink xmlns:r="http://schemas.openxmlformats.org/officeDocument/2006/relationships" ref="Y93" tooltip="mailto:2407428749@qq.com" display="2407428749@qq.com" r:id="rId48"/>
    <hyperlink xmlns:r="http://schemas.openxmlformats.org/officeDocument/2006/relationships" ref="Y94" tooltip="mailto:1742562359@qq.com" display="1742562359@qq.com" r:id="rId49"/>
    <hyperlink xmlns:r="http://schemas.openxmlformats.org/officeDocument/2006/relationships" ref="Y95" display="908029799@qq.com" r:id="rId50"/>
    <hyperlink xmlns:r="http://schemas.openxmlformats.org/officeDocument/2006/relationships" ref="Y96" display="784766448@qq.com" r:id="rId51"/>
    <hyperlink xmlns:r="http://schemas.openxmlformats.org/officeDocument/2006/relationships" ref="Y97" tooltip="mailto:1447984287@qq.com" display="1447984287@qq.com" r:id="rId52"/>
    <hyperlink xmlns:r="http://schemas.openxmlformats.org/officeDocument/2006/relationships" ref="Y98" display="18829070211@163.com" r:id="rId53"/>
    <hyperlink xmlns:r="http://schemas.openxmlformats.org/officeDocument/2006/relationships" ref="Y99" display="739772216@qq.com" r:id="rId54"/>
    <hyperlink xmlns:r="http://schemas.openxmlformats.org/officeDocument/2006/relationships" ref="Y100" display="2766166875@qq.com" r:id="rId55"/>
    <hyperlink xmlns:r="http://schemas.openxmlformats.org/officeDocument/2006/relationships" ref="Y101" display="18512546559@163.com" r:id="rId56"/>
    <hyperlink xmlns:r="http://schemas.openxmlformats.org/officeDocument/2006/relationships" ref="Y102" display="2694540712@qq.com" r:id="rId57"/>
    <hyperlink xmlns:r="http://schemas.openxmlformats.org/officeDocument/2006/relationships" ref="Y103" display="1490785073@qq.com" r:id="rId58"/>
    <hyperlink xmlns:r="http://schemas.openxmlformats.org/officeDocument/2006/relationships" ref="Y104" display="1446719386@qq.com" r:id="rId59"/>
    <hyperlink xmlns:r="http://schemas.openxmlformats.org/officeDocument/2006/relationships" ref="Y105" display="2848047704@qq.com" r:id="rId60"/>
    <hyperlink xmlns:r="http://schemas.openxmlformats.org/officeDocument/2006/relationships" ref="Y106" display="1030171899@qq.com" r:id="rId61"/>
    <hyperlink xmlns:r="http://schemas.openxmlformats.org/officeDocument/2006/relationships" ref="Y107" tooltip="mailto:457326457@qq.com" display="457326457@qq.com" r:id="rId62"/>
    <hyperlink xmlns:r="http://schemas.openxmlformats.org/officeDocument/2006/relationships" ref="Y108" display="854948458@qq.com" r:id="rId63"/>
    <hyperlink xmlns:r="http://schemas.openxmlformats.org/officeDocument/2006/relationships" ref="Y109" display="324186912@qq.com" r:id="rId64"/>
    <hyperlink xmlns:r="http://schemas.openxmlformats.org/officeDocument/2006/relationships" ref="Y110" display="1737239765@qq.com" r:id="rId65"/>
    <hyperlink xmlns:r="http://schemas.openxmlformats.org/officeDocument/2006/relationships" ref="Y111" tooltip="mailto:2564941113@qq.com" display="2564941113@qq.com" r:id="rId66"/>
    <hyperlink xmlns:r="http://schemas.openxmlformats.org/officeDocument/2006/relationships" ref="Y112" tooltip="mailto:626972012@qq.com" display="626972012@qq.com" r:id="rId67"/>
    <hyperlink xmlns:r="http://schemas.openxmlformats.org/officeDocument/2006/relationships" ref="Y113" tooltip="mailto:2842928569@qq.com" display="2842928569@qq.com" r:id="rId68"/>
    <hyperlink xmlns:r="http://schemas.openxmlformats.org/officeDocument/2006/relationships" ref="Y114" display="acaesar001@qq.com" r:id="rId69"/>
    <hyperlink xmlns:r="http://schemas.openxmlformats.org/officeDocument/2006/relationships" ref="Y115" display="1691022294@qq.com" r:id="rId70"/>
    <hyperlink xmlns:r="http://schemas.openxmlformats.org/officeDocument/2006/relationships" ref="Y116" tooltip="mailto:zx229091983@126.com" display="zx229091983@126.com" r:id="rId71"/>
    <hyperlink xmlns:r="http://schemas.openxmlformats.org/officeDocument/2006/relationships" ref="Y117" display="Gutl0814@163.com" r:id="rId72"/>
    <hyperlink xmlns:r="http://schemas.openxmlformats.org/officeDocument/2006/relationships" ref="Y118" display="18855442781@163.com" r:id="rId73"/>
    <hyperlink xmlns:r="http://schemas.openxmlformats.org/officeDocument/2006/relationships" ref="Y119" display="2207916715@qq.com" r:id="rId74"/>
    <hyperlink xmlns:r="http://schemas.openxmlformats.org/officeDocument/2006/relationships" ref="Y125" display="hellowdaming@163.com " r:id="rId75"/>
    <hyperlink xmlns:r="http://schemas.openxmlformats.org/officeDocument/2006/relationships" ref="Y127" display="29540039@qq.com" r:id="rId76"/>
    <hyperlink xmlns:r="http://schemas.openxmlformats.org/officeDocument/2006/relationships" ref="Y128" display="2329810660@qq.com" r:id="rId77"/>
    <hyperlink xmlns:r="http://schemas.openxmlformats.org/officeDocument/2006/relationships" ref="Y129" display="2570561356@qq.com" r:id="rId78"/>
    <hyperlink xmlns:r="http://schemas.openxmlformats.org/officeDocument/2006/relationships" ref="Y130" display="769252864@qq.com" r:id="rId79"/>
    <hyperlink xmlns:r="http://schemas.openxmlformats.org/officeDocument/2006/relationships" ref="Y131" tooltip="mailto:luzhaoyu0810@163.com" display="luzhaoyu0810@163.com" r:id="rId80"/>
    <hyperlink xmlns:r="http://schemas.openxmlformats.org/officeDocument/2006/relationships" ref="Y132" tooltip="mailto:1737116732@qq.com" display="1737116732@qq.com" r:id="rId81"/>
    <hyperlink xmlns:r="http://schemas.openxmlformats.org/officeDocument/2006/relationships" ref="Y133" display="985754223@qq.com" r:id="rId82"/>
    <hyperlink xmlns:r="http://schemas.openxmlformats.org/officeDocument/2006/relationships" ref="Y134" tooltip="mailto:1249777686@qq.com" display="1249777686@qq.com" r:id="rId83"/>
    <hyperlink xmlns:r="http://schemas.openxmlformats.org/officeDocument/2006/relationships" ref="Y135" display="603541019@qq.com" r:id="rId84"/>
    <hyperlink xmlns:r="http://schemas.openxmlformats.org/officeDocument/2006/relationships" ref="Y136" tooltip="mailto:1359248786@qq.com" display="1359248786@qq.com" r:id="rId85"/>
    <hyperlink xmlns:r="http://schemas.openxmlformats.org/officeDocument/2006/relationships" ref="Y137" display="1102676533@qq.com" r:id="rId86"/>
    <hyperlink xmlns:r="http://schemas.openxmlformats.org/officeDocument/2006/relationships" ref="Y139" tooltip="mailto:1097479862@qq.com" display="1097479862@qq.com" r:id="rId87"/>
    <hyperlink xmlns:r="http://schemas.openxmlformats.org/officeDocument/2006/relationships" ref="Y142" display="1793486689@qq.com" r:id="rId88"/>
    <hyperlink xmlns:r="http://schemas.openxmlformats.org/officeDocument/2006/relationships" ref="Y143" display="1411445848@qq.com" r:id="rId89"/>
    <hyperlink xmlns:r="http://schemas.openxmlformats.org/officeDocument/2006/relationships" ref="Y145" display="2849151785@qq.com" r:id="rId90"/>
    <hyperlink xmlns:r="http://schemas.openxmlformats.org/officeDocument/2006/relationships" ref="Y146" display="jakesparo@163.com" r:id="rId91"/>
  </hyperlink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KY23"/>
  <sheetViews>
    <sheetView zoomScale="80" zoomScaleNormal="80" workbookViewId="0">
      <selection activeCell="B173" sqref="B173"/>
    </sheetView>
  </sheetViews>
  <sheetFormatPr baseColWidth="8" defaultColWidth="8.731481481481479" defaultRowHeight="13.2"/>
  <cols>
    <col width="12.0185185185185" customWidth="1" style="113" min="1" max="1"/>
    <col width="6.53703703703704" customWidth="1" style="113" min="2" max="2"/>
    <col width="12.8148148148148" customWidth="1" style="113" min="3" max="3"/>
    <col width="25.4537037037037" customWidth="1" style="113" min="4" max="4"/>
    <col width="20.8148148148148" customWidth="1" style="113" min="5" max="5"/>
    <col width="16.8148148148148" customWidth="1" style="113" min="6" max="7"/>
    <col width="9.731481481481479" customWidth="1" style="113" min="8" max="8"/>
    <col width="45.6759259259259" customWidth="1" style="113" min="9" max="9"/>
    <col width="26.75" customWidth="1" style="113" min="10" max="10"/>
    <col width="20.6759259259259" customWidth="1" style="113" min="11" max="11"/>
    <col width="12.8148148148148" customWidth="1" style="113" min="12" max="13"/>
    <col width="8.65740740740741" customWidth="1" style="113" min="14" max="14"/>
    <col width="11.0555555555556" customWidth="1" style="113" min="15" max="15"/>
    <col width="13.6388888888889" customWidth="1" style="113" min="16" max="16"/>
    <col width="8.731481481481479" customWidth="1" style="113" min="17" max="16384"/>
  </cols>
  <sheetData>
    <row r="1" ht="28.75" customFormat="1" customHeight="1" s="104">
      <c r="A1" s="107" t="inlineStr">
        <is>
          <t>姓名</t>
        </is>
      </c>
      <c r="B1" s="107" t="inlineStr">
        <is>
          <t>薪资</t>
        </is>
      </c>
      <c r="C1" s="107" t="inlineStr">
        <is>
          <t>手机号码</t>
        </is>
      </c>
      <c r="D1" s="107" t="inlineStr">
        <is>
          <t>邮箱</t>
        </is>
      </c>
      <c r="E1" s="107" t="inlineStr">
        <is>
          <t>身份证号码</t>
        </is>
      </c>
      <c r="F1" s="107" t="inlineStr">
        <is>
          <t>入场时间</t>
        </is>
      </c>
      <c r="G1" s="107" t="inlineStr">
        <is>
          <t>离场时间</t>
        </is>
      </c>
      <c r="H1" s="107" t="inlineStr">
        <is>
          <t>服务费</t>
        </is>
      </c>
      <c r="I1" s="107" t="inlineStr">
        <is>
          <t>学历</t>
        </is>
      </c>
      <c r="J1" s="107" t="inlineStr">
        <is>
          <t>最近一份工作起止时间&amp;公司名称</t>
        </is>
      </c>
      <c r="K1" s="107" t="inlineStr">
        <is>
          <t>户籍</t>
        </is>
      </c>
      <c r="L1" s="107" t="inlineStr">
        <is>
          <t>联系人</t>
        </is>
      </c>
      <c r="M1" s="107" t="inlineStr">
        <is>
          <t>联系人号码</t>
        </is>
      </c>
      <c r="N1" s="107" t="inlineStr">
        <is>
          <t>婚姻</t>
        </is>
      </c>
      <c r="O1" s="107" t="inlineStr">
        <is>
          <t>经验</t>
        </is>
      </c>
      <c r="P1" s="107" t="inlineStr">
        <is>
          <t>五险一金</t>
        </is>
      </c>
    </row>
    <row r="2" ht="28.75" customFormat="1" customHeight="1" s="113">
      <c r="A2" s="106" t="inlineStr">
        <is>
          <t>邓树科</t>
        </is>
      </c>
      <c r="B2" s="106" t="n">
        <v>13000</v>
      </c>
      <c r="C2" s="106" t="n">
        <v>18331976035</v>
      </c>
      <c r="D2" s="108" t="inlineStr">
        <is>
          <t>dsk18331976035@163.com</t>
        </is>
      </c>
      <c r="E2" s="522" t="inlineStr">
        <is>
          <t>130521200008086035</t>
        </is>
      </c>
      <c r="F2" s="109" t="inlineStr">
        <is>
          <t>2024/7/26(周五)</t>
        </is>
      </c>
      <c r="G2" s="109" t="n"/>
      <c r="H2" s="106" t="n">
        <v>1400</v>
      </c>
      <c r="I2" s="106" t="inlineStr">
        <is>
          <t>本科</t>
        </is>
      </c>
      <c r="J2" s="106" t="n"/>
      <c r="K2" s="106" t="inlineStr">
        <is>
          <t>河北省邢台市邢台县浆水镇水门村310号</t>
        </is>
      </c>
      <c r="L2" s="106" t="inlineStr">
        <is>
          <t>邓金明(父子)</t>
        </is>
      </c>
      <c r="M2" s="106" t="n">
        <v>19011493950</v>
      </c>
      <c r="N2" s="106" t="inlineStr">
        <is>
          <t>未婚</t>
        </is>
      </c>
      <c r="O2" s="106" t="n">
        <v>3</v>
      </c>
      <c r="P2" s="106" t="inlineStr">
        <is>
          <t>4494 2280*5%</t>
        </is>
      </c>
    </row>
    <row r="3" ht="28.75" customFormat="1" customHeight="1" s="113">
      <c r="A3" s="106" t="inlineStr">
        <is>
          <t>霍佳玮</t>
        </is>
      </c>
      <c r="B3" s="106" t="n">
        <v>17000</v>
      </c>
      <c r="C3" s="106" t="n">
        <v>19930394906</v>
      </c>
      <c r="D3" s="108" t="inlineStr">
        <is>
          <t>2987766586@qq.com</t>
        </is>
      </c>
      <c r="E3" s="522" t="inlineStr">
        <is>
          <t>131182200410303431</t>
        </is>
      </c>
      <c r="F3" s="109" t="inlineStr">
        <is>
          <t>2024/7/29(周一)</t>
        </is>
      </c>
      <c r="G3" s="109" t="n"/>
      <c r="H3" s="106" t="n">
        <v>1700</v>
      </c>
      <c r="I3" s="106" t="inlineStr">
        <is>
          <t>本科</t>
        </is>
      </c>
      <c r="J3" s="106" t="n"/>
      <c r="K3" s="106" t="inlineStr">
        <is>
          <t>河北省衡水市深州市魏家桥镇潘家庄村102号</t>
        </is>
      </c>
      <c r="L3" s="106" t="inlineStr">
        <is>
          <t>霍小庆(父子)</t>
        </is>
      </c>
      <c r="M3" s="106" t="n">
        <v>15030877878</v>
      </c>
      <c r="N3" s="106" t="inlineStr">
        <is>
          <t>未婚</t>
        </is>
      </c>
      <c r="O3" s="106" t="n">
        <v>5</v>
      </c>
      <c r="P3" s="106" t="inlineStr">
        <is>
          <t>4494 2280*5%</t>
        </is>
      </c>
    </row>
    <row r="4" ht="28.75" customFormat="1" customHeight="1" s="113">
      <c r="A4" s="106" t="inlineStr">
        <is>
          <t>陆成宋</t>
        </is>
      </c>
      <c r="B4" s="106" t="n">
        <v>22000</v>
      </c>
      <c r="C4" s="106" t="n">
        <v>15850793218</v>
      </c>
      <c r="D4" s="106" t="inlineStr">
        <is>
          <t xml:space="preserve"> 919706982@qq.com</t>
        </is>
      </c>
      <c r="E4" s="522" t="inlineStr">
        <is>
          <t>320723199002195234</t>
        </is>
      </c>
      <c r="F4" s="109" t="inlineStr">
        <is>
          <t>2024/7/26(周五)</t>
        </is>
      </c>
      <c r="G4" s="109" t="n"/>
      <c r="H4" s="106" t="n">
        <v>2200</v>
      </c>
      <c r="I4" s="106" t="inlineStr">
        <is>
          <t>本科(民教)</t>
        </is>
      </c>
      <c r="J4" s="106" t="n"/>
      <c r="K4" s="106" t="inlineStr">
        <is>
          <t>江苏省灌云县南岗镇五户村陆庄56-1号</t>
        </is>
      </c>
      <c r="L4" s="106" t="inlineStr">
        <is>
          <t>陆梦荣(妹妹)</t>
        </is>
      </c>
      <c r="M4" s="106" t="n">
        <v>15190484253</v>
      </c>
      <c r="N4" s="106" t="inlineStr">
        <is>
          <t>未婚</t>
        </is>
      </c>
      <c r="O4" s="106" t="n">
        <v>12</v>
      </c>
      <c r="P4" s="106" t="inlineStr">
        <is>
          <t>4494 2280*5%</t>
        </is>
      </c>
    </row>
    <row r="5" ht="28.75" customFormat="1" customHeight="1" s="113">
      <c r="A5" s="106" t="inlineStr">
        <is>
          <t>荣佳胜</t>
        </is>
      </c>
      <c r="B5" s="106" t="n">
        <v>16000</v>
      </c>
      <c r="C5" s="106" t="n">
        <v>17774039692</v>
      </c>
      <c r="D5" s="108" t="inlineStr">
        <is>
          <t>194924807@qq.com</t>
        </is>
      </c>
      <c r="E5" s="522" t="inlineStr">
        <is>
          <t>340823199910021212</t>
        </is>
      </c>
      <c r="F5" s="109" t="inlineStr">
        <is>
          <t>2024/7/26(周五)</t>
        </is>
      </c>
      <c r="G5" s="109" t="n"/>
      <c r="H5" s="106" t="n">
        <v>1600</v>
      </c>
      <c r="I5" s="106" t="inlineStr">
        <is>
          <t>大专</t>
        </is>
      </c>
      <c r="J5" s="106" t="n"/>
      <c r="K5" s="106" t="inlineStr">
        <is>
          <t xml:space="preserve">安徽省铜陵市枞阳县雨坛镇查岭村雁行组12号 </t>
        </is>
      </c>
      <c r="L5" s="106" t="n"/>
      <c r="M5" s="106" t="n">
        <v>18014476261</v>
      </c>
      <c r="N5" s="106" t="inlineStr">
        <is>
          <t>未婚</t>
        </is>
      </c>
      <c r="O5" s="106" t="n">
        <v>4</v>
      </c>
      <c r="P5" s="106" t="inlineStr">
        <is>
          <t>4494 2280*5%</t>
        </is>
      </c>
    </row>
    <row r="6" ht="28.75" customFormat="1" customHeight="1" s="113">
      <c r="A6" s="106" t="inlineStr">
        <is>
          <t>聂超鹏</t>
        </is>
      </c>
      <c r="B6" s="106" t="n">
        <v>17000</v>
      </c>
      <c r="C6" s="106" t="n">
        <v>13241139222</v>
      </c>
      <c r="D6" s="108" t="inlineStr">
        <is>
          <t>n13241139222@163.com</t>
        </is>
      </c>
      <c r="E6" s="522" t="inlineStr">
        <is>
          <t>410881199702212534</t>
        </is>
      </c>
      <c r="F6" s="109" t="inlineStr">
        <is>
          <t>2024/7/26(周五)</t>
        </is>
      </c>
      <c r="G6" s="109" t="n"/>
      <c r="H6" s="106" t="n">
        <v>1800</v>
      </c>
      <c r="I6" s="106" t="inlineStr">
        <is>
          <t>本科(民教))</t>
        </is>
      </c>
      <c r="J6" s="106" t="n"/>
      <c r="K6" s="106" t="inlineStr">
        <is>
          <t>河南省济源市梨林镇东坡村</t>
        </is>
      </c>
      <c r="L6" s="106" t="inlineStr">
        <is>
          <t>卢昊</t>
        </is>
      </c>
      <c r="M6" s="106" t="n">
        <v>18239037030</v>
      </c>
      <c r="N6" s="106" t="inlineStr">
        <is>
          <t>未婚</t>
        </is>
      </c>
      <c r="O6" s="106" t="n">
        <v>5</v>
      </c>
      <c r="P6" s="106" t="inlineStr">
        <is>
          <t>4494 2280*5%</t>
        </is>
      </c>
    </row>
    <row r="7" ht="28.75" customFormat="1" customHeight="1" s="113">
      <c r="A7" s="106" t="inlineStr">
        <is>
          <t>虞小亮</t>
        </is>
      </c>
      <c r="B7" s="106" t="n">
        <v>18000</v>
      </c>
      <c r="C7" s="106" t="n">
        <v>17645349130</v>
      </c>
      <c r="D7" s="108" t="inlineStr">
        <is>
          <t>spacex12@126.com</t>
        </is>
      </c>
      <c r="E7" s="522" t="inlineStr">
        <is>
          <t>340826199210240018</t>
        </is>
      </c>
      <c r="F7" s="109" t="inlineStr">
        <is>
          <t>2024/7/29(周一)</t>
        </is>
      </c>
      <c r="G7" s="109" t="n"/>
      <c r="H7" s="110" t="n">
        <v>2800</v>
      </c>
      <c r="I7" s="106" t="inlineStr">
        <is>
          <t>专科</t>
        </is>
      </c>
      <c r="J7" s="106" t="n"/>
      <c r="K7" s="106" t="inlineStr">
        <is>
          <t>安徽省安庆市宿松县孚玉镇龙跃村王店组17号</t>
        </is>
      </c>
      <c r="L7" s="106" t="inlineStr">
        <is>
          <t>陈佳亮</t>
        </is>
      </c>
      <c r="M7" s="106" t="n">
        <v>17366362136</v>
      </c>
      <c r="N7" s="106" t="inlineStr">
        <is>
          <t>未婚</t>
        </is>
      </c>
      <c r="O7" s="106" t="n">
        <v>9</v>
      </c>
      <c r="P7" s="106" t="inlineStr">
        <is>
          <t>4494 2280*5%</t>
        </is>
      </c>
    </row>
    <row r="8" ht="28.75" customFormat="1" customHeight="1" s="113">
      <c r="A8" s="106" t="inlineStr">
        <is>
          <t>刘灿</t>
        </is>
      </c>
      <c r="B8" s="106" t="n">
        <v>22000</v>
      </c>
      <c r="C8" s="106" t="n">
        <v>18312505976</v>
      </c>
      <c r="D8" s="108" t="inlineStr">
        <is>
          <t>372601669@qq.com</t>
        </is>
      </c>
      <c r="E8" s="522" t="inlineStr">
        <is>
          <t>411625199508123334</t>
        </is>
      </c>
      <c r="F8" s="109" t="inlineStr">
        <is>
          <t>2024/7/29(周一)</t>
        </is>
      </c>
      <c r="G8" s="109" t="n"/>
      <c r="H8" s="106" t="n">
        <v>2200</v>
      </c>
      <c r="I8" s="106" t="inlineStr">
        <is>
          <t>专科</t>
        </is>
      </c>
      <c r="J8" s="106" t="n"/>
      <c r="K8" s="106" t="inlineStr">
        <is>
          <t>河南省周口市郸城县刘营行政村刘营村001号</t>
        </is>
      </c>
      <c r="L8" s="106" t="inlineStr">
        <is>
          <t>刘雪珍(女朋友)</t>
        </is>
      </c>
      <c r="M8" s="106" t="n">
        <v>15138298488</v>
      </c>
      <c r="N8" s="106" t="inlineStr">
        <is>
          <t>未婚</t>
        </is>
      </c>
      <c r="O8" s="106" t="n">
        <v>7</v>
      </c>
      <c r="P8" s="106" t="inlineStr">
        <is>
          <t>4494 2280*5%</t>
        </is>
      </c>
    </row>
    <row r="9" ht="28.75" customFormat="1" customHeight="1" s="106">
      <c r="A9" s="106" t="inlineStr">
        <is>
          <t>王志伟</t>
        </is>
      </c>
      <c r="B9" s="106" t="n">
        <v>14000</v>
      </c>
      <c r="C9" s="106" t="n">
        <v>15357486183</v>
      </c>
      <c r="D9" s="106" t="inlineStr">
        <is>
          <t>15357486183@163.com</t>
        </is>
      </c>
      <c r="E9" s="106" t="inlineStr">
        <is>
          <t>34242620030707041X</t>
        </is>
      </c>
      <c r="F9" s="111" t="inlineStr">
        <is>
          <t>2024/7/31(周三)</t>
        </is>
      </c>
      <c r="G9" s="112" t="n">
        <v>45518</v>
      </c>
      <c r="H9" s="106" t="n">
        <v>1200</v>
      </c>
      <c r="I9" s="106" t="inlineStr">
        <is>
          <t>本科</t>
        </is>
      </c>
      <c r="J9" s="106" t="inlineStr">
        <is>
          <t>2022年10月 - 至 今 广州市风荷科技有限公司 安卓</t>
        </is>
      </c>
      <c r="K9" s="106" t="inlineStr">
        <is>
          <t>安徽六安</t>
        </is>
      </c>
      <c r="L9" s="106" t="inlineStr">
        <is>
          <t>陈群（母子）</t>
        </is>
      </c>
      <c r="M9" s="106" t="n">
        <v>13865726769</v>
      </c>
      <c r="N9" s="106" t="inlineStr">
        <is>
          <t>未婚</t>
        </is>
      </c>
      <c r="O9" s="106" t="n">
        <v>5</v>
      </c>
      <c r="P9" s="106" t="inlineStr">
        <is>
          <t>4494 2280*5%</t>
        </is>
      </c>
      <c r="Q9" s="113" t="n"/>
      <c r="R9" s="113" t="n"/>
      <c r="S9" s="113" t="n"/>
      <c r="T9" s="113" t="n"/>
      <c r="U9" s="113" t="n"/>
      <c r="V9" s="113" t="n"/>
      <c r="W9" s="113" t="n"/>
      <c r="X9" s="113" t="n"/>
      <c r="Y9" s="113" t="n"/>
      <c r="Z9" s="113" t="n"/>
      <c r="AA9" s="113" t="n"/>
      <c r="AB9" s="113" t="n"/>
      <c r="AC9" s="113" t="n"/>
      <c r="AD9" s="113" t="n"/>
      <c r="AE9" s="113" t="n"/>
      <c r="AF9" s="113" t="n"/>
      <c r="AG9" s="113" t="n"/>
      <c r="AH9" s="113" t="n"/>
      <c r="AI9" s="113" t="n"/>
      <c r="AJ9" s="113" t="n"/>
      <c r="AK9" s="113" t="n"/>
      <c r="AL9" s="113" t="n"/>
      <c r="AM9" s="113" t="n"/>
      <c r="AN9" s="113" t="n"/>
      <c r="AO9" s="113" t="n"/>
      <c r="AP9" s="113" t="n"/>
      <c r="AQ9" s="113" t="n"/>
      <c r="AR9" s="113" t="n"/>
      <c r="AS9" s="113" t="n"/>
      <c r="AT9" s="113" t="n"/>
      <c r="AU9" s="113" t="n"/>
      <c r="AV9" s="113" t="n"/>
      <c r="AW9" s="113" t="n"/>
      <c r="AX9" s="113" t="n"/>
      <c r="AY9" s="113" t="n"/>
      <c r="AZ9" s="113" t="n"/>
      <c r="BA9" s="113" t="n"/>
      <c r="BB9" s="113" t="n"/>
      <c r="BC9" s="113" t="n"/>
      <c r="BD9" s="113" t="n"/>
      <c r="BE9" s="113" t="n"/>
      <c r="BF9" s="113" t="n"/>
      <c r="BG9" s="113" t="n"/>
      <c r="BH9" s="113" t="n"/>
      <c r="BI9" s="113" t="n"/>
      <c r="BJ9" s="113" t="n"/>
      <c r="BK9" s="113" t="n"/>
      <c r="BL9" s="113" t="n"/>
      <c r="BM9" s="113" t="n"/>
      <c r="BN9" s="113" t="n"/>
      <c r="BO9" s="113" t="n"/>
      <c r="BP9" s="113" t="n"/>
      <c r="BQ9" s="113" t="n"/>
      <c r="BR9" s="113" t="n"/>
      <c r="BS9" s="113" t="n"/>
      <c r="BT9" s="113" t="n"/>
      <c r="BU9" s="113" t="n"/>
      <c r="BV9" s="113" t="n"/>
      <c r="BW9" s="113" t="n"/>
      <c r="BX9" s="113" t="n"/>
      <c r="BY9" s="113" t="n"/>
      <c r="BZ9" s="113" t="n"/>
      <c r="CA9" s="113" t="n"/>
      <c r="CB9" s="113" t="n"/>
      <c r="CC9" s="113" t="n"/>
      <c r="CD9" s="113" t="n"/>
      <c r="CE9" s="113" t="n"/>
      <c r="CF9" s="113" t="n"/>
      <c r="CG9" s="113" t="n"/>
      <c r="CH9" s="113" t="n"/>
      <c r="CI9" s="113" t="n"/>
      <c r="CJ9" s="113" t="n"/>
      <c r="CK9" s="113" t="n"/>
      <c r="CL9" s="113" t="n"/>
      <c r="CM9" s="113" t="n"/>
      <c r="CN9" s="113" t="n"/>
      <c r="CO9" s="113" t="n"/>
      <c r="CP9" s="113" t="n"/>
      <c r="CQ9" s="113" t="n"/>
      <c r="CR9" s="113" t="n"/>
      <c r="CS9" s="113" t="n"/>
      <c r="CT9" s="113" t="n"/>
      <c r="CU9" s="113" t="n"/>
      <c r="CV9" s="113" t="n"/>
      <c r="CW9" s="113" t="n"/>
      <c r="CX9" s="113" t="n"/>
      <c r="CY9" s="113" t="n"/>
      <c r="CZ9" s="113" t="n"/>
      <c r="DA9" s="113" t="n"/>
      <c r="DB9" s="113" t="n"/>
      <c r="DC9" s="113" t="n"/>
      <c r="DD9" s="113" t="n"/>
      <c r="DE9" s="113" t="n"/>
      <c r="DF9" s="113" t="n"/>
      <c r="DG9" s="113" t="n"/>
      <c r="DH9" s="113" t="n"/>
      <c r="DI9" s="113" t="n"/>
      <c r="DJ9" s="113" t="n"/>
      <c r="DK9" s="113" t="n"/>
      <c r="DL9" s="113" t="n"/>
      <c r="DM9" s="113" t="n"/>
      <c r="DN9" s="113" t="n"/>
      <c r="DO9" s="113" t="n"/>
      <c r="DP9" s="113" t="n"/>
      <c r="DQ9" s="113" t="n"/>
      <c r="DR9" s="113" t="n"/>
      <c r="DS9" s="113" t="n"/>
      <c r="DT9" s="113" t="n"/>
      <c r="DU9" s="113" t="n"/>
      <c r="DV9" s="113" t="n"/>
      <c r="DW9" s="113" t="n"/>
      <c r="DX9" s="113" t="n"/>
      <c r="DY9" s="113" t="n"/>
      <c r="DZ9" s="113" t="n"/>
      <c r="EA9" s="113" t="n"/>
      <c r="EB9" s="113" t="n"/>
      <c r="EC9" s="113" t="n"/>
      <c r="ED9" s="113" t="n"/>
      <c r="EE9" s="113" t="n"/>
      <c r="EF9" s="113" t="n"/>
      <c r="EG9" s="113" t="n"/>
      <c r="EH9" s="113" t="n"/>
      <c r="EI9" s="113" t="n"/>
      <c r="EJ9" s="113" t="n"/>
      <c r="EK9" s="113" t="n"/>
      <c r="EL9" s="113" t="n"/>
      <c r="EM9" s="113" t="n"/>
      <c r="EN9" s="113" t="n"/>
      <c r="EO9" s="113" t="n"/>
      <c r="EP9" s="113" t="n"/>
      <c r="EQ9" s="113" t="n"/>
      <c r="ER9" s="113" t="n"/>
      <c r="ES9" s="113" t="n"/>
      <c r="ET9" s="113" t="n"/>
      <c r="EU9" s="113" t="n"/>
      <c r="EV9" s="113" t="n"/>
      <c r="EW9" s="113" t="n"/>
      <c r="EX9" s="113" t="n"/>
      <c r="EY9" s="113" t="n"/>
      <c r="EZ9" s="113" t="n"/>
      <c r="FA9" s="113" t="n"/>
      <c r="FB9" s="113" t="n"/>
      <c r="FC9" s="113" t="n"/>
      <c r="FD9" s="113" t="n"/>
      <c r="FE9" s="113" t="n"/>
      <c r="FF9" s="113" t="n"/>
      <c r="FG9" s="113" t="n"/>
      <c r="FH9" s="113" t="n"/>
      <c r="FI9" s="113" t="n"/>
      <c r="FJ9" s="113" t="n"/>
      <c r="FK9" s="113" t="n"/>
      <c r="FL9" s="113" t="n"/>
      <c r="FM9" s="113" t="n"/>
      <c r="FN9" s="113" t="n"/>
      <c r="FO9" s="113" t="n"/>
      <c r="FP9" s="113" t="n"/>
      <c r="FQ9" s="113" t="n"/>
      <c r="FR9" s="113" t="n"/>
      <c r="FS9" s="113" t="n"/>
      <c r="FT9" s="113" t="n"/>
      <c r="FU9" s="113" t="n"/>
      <c r="FV9" s="113" t="n"/>
      <c r="FW9" s="113" t="n"/>
      <c r="FX9" s="113" t="n"/>
      <c r="FY9" s="113" t="n"/>
      <c r="FZ9" s="113" t="n"/>
      <c r="GA9" s="113" t="n"/>
      <c r="GB9" s="113" t="n"/>
      <c r="GC9" s="113" t="n"/>
      <c r="GD9" s="113" t="n"/>
      <c r="GE9" s="113" t="n"/>
      <c r="GF9" s="113" t="n"/>
      <c r="GG9" s="113" t="n"/>
      <c r="GH9" s="113" t="n"/>
      <c r="GI9" s="113" t="n"/>
      <c r="GJ9" s="113" t="n"/>
      <c r="GK9" s="113" t="n"/>
      <c r="GL9" s="113" t="n"/>
      <c r="GM9" s="113" t="n"/>
      <c r="GN9" s="113" t="n"/>
      <c r="GO9" s="113" t="n"/>
      <c r="GP9" s="113" t="n"/>
      <c r="GQ9" s="113" t="n"/>
      <c r="GR9" s="113" t="n"/>
      <c r="GS9" s="113" t="n"/>
      <c r="GT9" s="113" t="n"/>
      <c r="GU9" s="113" t="n"/>
      <c r="GV9" s="113" t="n"/>
      <c r="GW9" s="113" t="n"/>
      <c r="GX9" s="113" t="n"/>
      <c r="GY9" s="113" t="n"/>
      <c r="GZ9" s="113" t="n"/>
      <c r="HA9" s="113" t="n"/>
      <c r="HB9" s="113" t="n"/>
      <c r="HC9" s="113" t="n"/>
      <c r="HD9" s="113" t="n"/>
      <c r="HE9" s="113" t="n"/>
      <c r="HF9" s="113" t="n"/>
      <c r="HG9" s="113" t="n"/>
      <c r="HH9" s="113" t="n"/>
      <c r="HI9" s="113" t="n"/>
      <c r="HJ9" s="113" t="n"/>
      <c r="HK9" s="113" t="n"/>
      <c r="HL9" s="113" t="n"/>
      <c r="HM9" s="113" t="n"/>
      <c r="HN9" s="113" t="n"/>
      <c r="HO9" s="113" t="n"/>
      <c r="HP9" s="113" t="n"/>
      <c r="HQ9" s="113" t="n"/>
      <c r="HR9" s="113" t="n"/>
      <c r="HS9" s="113" t="n"/>
      <c r="HT9" s="113" t="n"/>
      <c r="HU9" s="113" t="n"/>
      <c r="HV9" s="113" t="n"/>
      <c r="HW9" s="113" t="n"/>
      <c r="HX9" s="113" t="n"/>
      <c r="HY9" s="113" t="n"/>
      <c r="HZ9" s="113" t="n"/>
      <c r="IA9" s="113" t="n"/>
      <c r="IB9" s="113" t="n"/>
      <c r="IC9" s="113" t="n"/>
      <c r="ID9" s="113" t="n"/>
      <c r="IE9" s="113" t="n"/>
      <c r="IF9" s="113" t="n"/>
      <c r="IG9" s="113" t="n"/>
      <c r="IH9" s="113" t="n"/>
      <c r="II9" s="113" t="n"/>
      <c r="IJ9" s="113" t="n"/>
      <c r="IK9" s="113" t="n"/>
      <c r="IL9" s="113" t="n"/>
      <c r="IM9" s="113" t="n"/>
      <c r="IN9" s="113" t="n"/>
      <c r="IO9" s="113" t="n"/>
      <c r="IP9" s="113" t="n"/>
      <c r="IQ9" s="113" t="n"/>
      <c r="IR9" s="113" t="n"/>
      <c r="IS9" s="113" t="n"/>
      <c r="IT9" s="113" t="n"/>
      <c r="IU9" s="113" t="n"/>
      <c r="IV9" s="113" t="n"/>
      <c r="IW9" s="113" t="n"/>
      <c r="IX9" s="113" t="n"/>
      <c r="IY9" s="113" t="n"/>
      <c r="IZ9" s="113" t="n"/>
      <c r="JA9" s="113" t="n"/>
      <c r="JB9" s="113" t="n"/>
      <c r="JC9" s="113" t="n"/>
      <c r="JD9" s="113" t="n"/>
      <c r="JE9" s="113" t="n"/>
      <c r="JF9" s="113" t="n"/>
      <c r="JG9" s="113" t="n"/>
      <c r="JH9" s="113" t="n"/>
      <c r="JI9" s="113" t="n"/>
      <c r="JJ9" s="113" t="n"/>
      <c r="JK9" s="113" t="n"/>
      <c r="JL9" s="113" t="n"/>
      <c r="JM9" s="113" t="n"/>
      <c r="JN9" s="113" t="n"/>
      <c r="JO9" s="113" t="n"/>
      <c r="JP9" s="113" t="n"/>
      <c r="JQ9" s="113" t="n"/>
      <c r="JR9" s="113" t="n"/>
      <c r="JS9" s="113" t="n"/>
      <c r="JT9" s="113" t="n"/>
      <c r="JU9" s="113" t="n"/>
      <c r="JV9" s="113" t="n"/>
      <c r="JW9" s="113" t="n"/>
      <c r="JX9" s="113" t="n"/>
      <c r="JY9" s="113" t="n"/>
      <c r="JZ9" s="113" t="n"/>
      <c r="KA9" s="113" t="n"/>
      <c r="KB9" s="113" t="n"/>
      <c r="KC9" s="113" t="n"/>
      <c r="KD9" s="113" t="n"/>
      <c r="KE9" s="113" t="n"/>
      <c r="KF9" s="113" t="n"/>
      <c r="KG9" s="113" t="n"/>
      <c r="KH9" s="113" t="n"/>
      <c r="KI9" s="113" t="n"/>
      <c r="KJ9" s="113" t="n"/>
      <c r="KK9" s="113" t="n"/>
      <c r="KL9" s="113" t="n"/>
      <c r="KM9" s="113" t="n"/>
      <c r="KN9" s="113" t="n"/>
      <c r="KO9" s="113" t="n"/>
      <c r="KP9" s="113" t="n"/>
      <c r="KQ9" s="113" t="n"/>
      <c r="KR9" s="113" t="n"/>
      <c r="KS9" s="113" t="n"/>
      <c r="KT9" s="113" t="n"/>
      <c r="KU9" s="113" t="n"/>
      <c r="KV9" s="113" t="n"/>
      <c r="KW9" s="113" t="n"/>
      <c r="KX9" s="113" t="n"/>
      <c r="KY9" s="113" t="n"/>
      <c r="KZ9" s="113" t="n"/>
      <c r="LA9" s="113" t="n"/>
      <c r="LB9" s="113" t="n"/>
      <c r="LC9" s="113" t="n"/>
      <c r="LD9" s="113" t="n"/>
      <c r="LE9" s="113" t="n"/>
      <c r="LF9" s="113" t="n"/>
      <c r="LG9" s="113" t="n"/>
      <c r="LH9" s="113" t="n"/>
      <c r="LI9" s="113" t="n"/>
      <c r="LJ9" s="113" t="n"/>
      <c r="LK9" s="113" t="n"/>
      <c r="LL9" s="113" t="n"/>
      <c r="LM9" s="113" t="n"/>
      <c r="LN9" s="113" t="n"/>
      <c r="LO9" s="113" t="n"/>
      <c r="LP9" s="113" t="n"/>
      <c r="LQ9" s="113" t="n"/>
      <c r="LR9" s="113" t="n"/>
      <c r="LS9" s="113" t="n"/>
      <c r="LT9" s="113" t="n"/>
      <c r="LU9" s="113" t="n"/>
      <c r="LV9" s="113" t="n"/>
      <c r="LW9" s="113" t="n"/>
      <c r="LX9" s="113" t="n"/>
      <c r="LY9" s="113" t="n"/>
      <c r="LZ9" s="113" t="n"/>
      <c r="MA9" s="113" t="n"/>
      <c r="MB9" s="113" t="n"/>
      <c r="MC9" s="113" t="n"/>
      <c r="MD9" s="113" t="n"/>
      <c r="ME9" s="113" t="n"/>
      <c r="MF9" s="113" t="n"/>
      <c r="MG9" s="113" t="n"/>
      <c r="MH9" s="113" t="n"/>
      <c r="MI9" s="113" t="n"/>
      <c r="MJ9" s="113" t="n"/>
      <c r="MK9" s="113" t="n"/>
      <c r="ML9" s="113" t="n"/>
      <c r="MM9" s="113" t="n"/>
      <c r="MN9" s="113" t="n"/>
      <c r="MO9" s="113" t="n"/>
      <c r="MP9" s="113" t="n"/>
      <c r="MQ9" s="113" t="n"/>
      <c r="MR9" s="113" t="n"/>
      <c r="MS9" s="113" t="n"/>
      <c r="MT9" s="113" t="n"/>
      <c r="MU9" s="113" t="n"/>
      <c r="MV9" s="113" t="n"/>
      <c r="MW9" s="113" t="n"/>
      <c r="MX9" s="113" t="n"/>
      <c r="MY9" s="113" t="n"/>
      <c r="MZ9" s="113" t="n"/>
      <c r="NA9" s="113" t="n"/>
      <c r="NB9" s="113" t="n"/>
      <c r="NC9" s="113" t="n"/>
      <c r="ND9" s="113" t="n"/>
      <c r="NE9" s="113" t="n"/>
      <c r="NF9" s="113" t="n"/>
      <c r="NG9" s="113" t="n"/>
      <c r="NH9" s="113" t="n"/>
      <c r="NI9" s="113" t="n"/>
      <c r="NJ9" s="113" t="n"/>
      <c r="NK9" s="113" t="n"/>
      <c r="NL9" s="113" t="n"/>
      <c r="NM9" s="113" t="n"/>
      <c r="NN9" s="113" t="n"/>
      <c r="NO9" s="113" t="n"/>
      <c r="NP9" s="113" t="n"/>
      <c r="NQ9" s="113" t="n"/>
      <c r="NR9" s="113" t="n"/>
      <c r="NS9" s="113" t="n"/>
      <c r="NT9" s="113" t="n"/>
      <c r="NU9" s="113" t="n"/>
      <c r="NV9" s="113" t="n"/>
      <c r="NW9" s="113" t="n"/>
      <c r="NX9" s="113" t="n"/>
      <c r="NY9" s="113" t="n"/>
      <c r="NZ9" s="113" t="n"/>
      <c r="OA9" s="113" t="n"/>
      <c r="OB9" s="113" t="n"/>
      <c r="OC9" s="113" t="n"/>
      <c r="OD9" s="113" t="n"/>
      <c r="OE9" s="113" t="n"/>
      <c r="OF9" s="113" t="n"/>
      <c r="OG9" s="113" t="n"/>
      <c r="OH9" s="113" t="n"/>
      <c r="OI9" s="113" t="n"/>
      <c r="OJ9" s="113" t="n"/>
      <c r="OK9" s="113" t="n"/>
      <c r="OL9" s="113" t="n"/>
      <c r="OM9" s="113" t="n"/>
      <c r="ON9" s="113" t="n"/>
      <c r="OO9" s="113" t="n"/>
      <c r="OP9" s="113" t="n"/>
      <c r="OQ9" s="113" t="n"/>
      <c r="OR9" s="113" t="n"/>
      <c r="OS9" s="113" t="n"/>
      <c r="OT9" s="113" t="n"/>
      <c r="OU9" s="113" t="n"/>
      <c r="OV9" s="113" t="n"/>
      <c r="OW9" s="113" t="n"/>
      <c r="OX9" s="113" t="n"/>
      <c r="OY9" s="113" t="n"/>
      <c r="OZ9" s="113" t="n"/>
      <c r="PA9" s="113" t="n"/>
      <c r="PB9" s="113" t="n"/>
      <c r="PC9" s="113" t="n"/>
      <c r="PD9" s="113" t="n"/>
      <c r="PE9" s="113" t="n"/>
      <c r="PF9" s="113" t="n"/>
      <c r="PG9" s="113" t="n"/>
      <c r="PH9" s="113" t="n"/>
      <c r="PI9" s="113" t="n"/>
      <c r="PJ9" s="113" t="n"/>
      <c r="PK9" s="113" t="n"/>
      <c r="PL9" s="113" t="n"/>
      <c r="PM9" s="113" t="n"/>
      <c r="PN9" s="113" t="n"/>
      <c r="PO9" s="113" t="n"/>
      <c r="PP9" s="113" t="n"/>
      <c r="PQ9" s="113" t="n"/>
      <c r="PR9" s="113" t="n"/>
      <c r="PS9" s="113" t="n"/>
      <c r="PT9" s="113" t="n"/>
      <c r="PU9" s="113" t="n"/>
      <c r="PV9" s="113" t="n"/>
      <c r="PW9" s="113" t="n"/>
      <c r="PX9" s="113" t="n"/>
      <c r="PY9" s="113" t="n"/>
      <c r="PZ9" s="113" t="n"/>
      <c r="QA9" s="113" t="n"/>
      <c r="QB9" s="113" t="n"/>
      <c r="QC9" s="113" t="n"/>
      <c r="QD9" s="113" t="n"/>
      <c r="QE9" s="113" t="n"/>
      <c r="QF9" s="113" t="n"/>
      <c r="QG9" s="113" t="n"/>
      <c r="QH9" s="113" t="n"/>
      <c r="QI9" s="113" t="n"/>
      <c r="QJ9" s="113" t="n"/>
      <c r="QK9" s="113" t="n"/>
      <c r="QL9" s="113" t="n"/>
      <c r="QM9" s="113" t="n"/>
      <c r="QN9" s="113" t="n"/>
      <c r="QO9" s="113" t="n"/>
      <c r="QP9" s="113" t="n"/>
      <c r="QQ9" s="113" t="n"/>
      <c r="QR9" s="113" t="n"/>
      <c r="QS9" s="113" t="n"/>
      <c r="QT9" s="113" t="n"/>
      <c r="QU9" s="113" t="n"/>
      <c r="QV9" s="113" t="n"/>
      <c r="QW9" s="113" t="n"/>
      <c r="QX9" s="113" t="n"/>
      <c r="QY9" s="113" t="n"/>
      <c r="QZ9" s="113" t="n"/>
      <c r="RA9" s="113" t="n"/>
      <c r="RB9" s="113" t="n"/>
      <c r="RC9" s="113" t="n"/>
      <c r="RD9" s="113" t="n"/>
      <c r="RE9" s="113" t="n"/>
      <c r="RF9" s="113" t="n"/>
      <c r="RG9" s="113" t="n"/>
      <c r="RH9" s="113" t="n"/>
      <c r="RI9" s="113" t="n"/>
      <c r="RJ9" s="113" t="n"/>
      <c r="RK9" s="113" t="n"/>
      <c r="RL9" s="113" t="n"/>
      <c r="RM9" s="113" t="n"/>
      <c r="RN9" s="113" t="n"/>
      <c r="RO9" s="113" t="n"/>
      <c r="RP9" s="113" t="n"/>
      <c r="RQ9" s="113" t="n"/>
      <c r="RR9" s="113" t="n"/>
      <c r="RS9" s="113" t="n"/>
      <c r="RT9" s="113" t="n"/>
      <c r="RU9" s="113" t="n"/>
      <c r="RV9" s="113" t="n"/>
      <c r="RW9" s="113" t="n"/>
      <c r="RX9" s="113" t="n"/>
      <c r="RY9" s="113" t="n"/>
      <c r="RZ9" s="113" t="n"/>
      <c r="SA9" s="113" t="n"/>
      <c r="SB9" s="113" t="n"/>
      <c r="SC9" s="113" t="n"/>
      <c r="SD9" s="113" t="n"/>
      <c r="SE9" s="113" t="n"/>
      <c r="SF9" s="113" t="n"/>
      <c r="SG9" s="113" t="n"/>
      <c r="SH9" s="113" t="n"/>
      <c r="SI9" s="113" t="n"/>
      <c r="SJ9" s="113" t="n"/>
      <c r="SK9" s="113" t="n"/>
      <c r="SL9" s="113" t="n"/>
      <c r="SM9" s="113" t="n"/>
      <c r="SN9" s="113" t="n"/>
      <c r="SO9" s="113" t="n"/>
      <c r="SP9" s="113" t="n"/>
      <c r="SQ9" s="113" t="n"/>
      <c r="SR9" s="113" t="n"/>
      <c r="SS9" s="113" t="n"/>
      <c r="ST9" s="113" t="n"/>
      <c r="SU9" s="113" t="n"/>
      <c r="SV9" s="113" t="n"/>
      <c r="SW9" s="113" t="n"/>
      <c r="SX9" s="113" t="n"/>
      <c r="SY9" s="113" t="n"/>
      <c r="SZ9" s="113" t="n"/>
      <c r="TA9" s="113" t="n"/>
      <c r="TB9" s="113" t="n"/>
      <c r="TC9" s="113" t="n"/>
      <c r="TD9" s="113" t="n"/>
      <c r="TE9" s="113" t="n"/>
      <c r="TF9" s="113" t="n"/>
      <c r="TG9" s="113" t="n"/>
      <c r="TH9" s="113" t="n"/>
      <c r="TI9" s="113" t="n"/>
      <c r="TJ9" s="113" t="n"/>
      <c r="TK9" s="113" t="n"/>
      <c r="TL9" s="113" t="n"/>
      <c r="TM9" s="113" t="n"/>
      <c r="TN9" s="113" t="n"/>
      <c r="TO9" s="113" t="n"/>
      <c r="TP9" s="113" t="n"/>
      <c r="TQ9" s="113" t="n"/>
      <c r="TR9" s="113" t="n"/>
      <c r="TS9" s="113" t="n"/>
      <c r="TT9" s="113" t="n"/>
      <c r="TU9" s="113" t="n"/>
      <c r="TV9" s="113" t="n"/>
      <c r="TW9" s="113" t="n"/>
      <c r="TX9" s="113" t="n"/>
      <c r="TY9" s="113" t="n"/>
      <c r="TZ9" s="113" t="n"/>
      <c r="UA9" s="113" t="n"/>
      <c r="UB9" s="113" t="n"/>
      <c r="UC9" s="113" t="n"/>
      <c r="UD9" s="113" t="n"/>
      <c r="UE9" s="113" t="n"/>
      <c r="UF9" s="113" t="n"/>
      <c r="UG9" s="113" t="n"/>
      <c r="UH9" s="113" t="n"/>
      <c r="UI9" s="113" t="n"/>
      <c r="UJ9" s="113" t="n"/>
      <c r="UK9" s="113" t="n"/>
      <c r="UL9" s="113" t="n"/>
      <c r="UM9" s="113" t="n"/>
      <c r="UN9" s="113" t="n"/>
      <c r="UO9" s="113" t="n"/>
      <c r="UP9" s="113" t="n"/>
      <c r="UQ9" s="113" t="n"/>
      <c r="UR9" s="113" t="n"/>
      <c r="US9" s="113" t="n"/>
      <c r="UT9" s="113" t="n"/>
      <c r="UU9" s="113" t="n"/>
      <c r="UV9" s="113" t="n"/>
      <c r="UW9" s="113" t="n"/>
      <c r="UX9" s="113" t="n"/>
      <c r="UY9" s="113" t="n"/>
      <c r="UZ9" s="113" t="n"/>
      <c r="VA9" s="113" t="n"/>
      <c r="VB9" s="113" t="n"/>
      <c r="VC9" s="113" t="n"/>
      <c r="VD9" s="113" t="n"/>
      <c r="VE9" s="113" t="n"/>
      <c r="VF9" s="113" t="n"/>
      <c r="VG9" s="113" t="n"/>
      <c r="VH9" s="113" t="n"/>
      <c r="VI9" s="113" t="n"/>
      <c r="VJ9" s="113" t="n"/>
      <c r="VK9" s="113" t="n"/>
      <c r="VL9" s="113" t="n"/>
      <c r="VM9" s="113" t="n"/>
      <c r="VN9" s="113" t="n"/>
      <c r="VO9" s="113" t="n"/>
      <c r="VP9" s="113" t="n"/>
      <c r="VQ9" s="113" t="n"/>
      <c r="VR9" s="113" t="n"/>
      <c r="VS9" s="113" t="n"/>
      <c r="VT9" s="113" t="n"/>
      <c r="VU9" s="113" t="n"/>
      <c r="VV9" s="113" t="n"/>
      <c r="VW9" s="113" t="n"/>
      <c r="VX9" s="113" t="n"/>
      <c r="VY9" s="113" t="n"/>
      <c r="VZ9" s="113" t="n"/>
      <c r="WA9" s="113" t="n"/>
      <c r="WB9" s="113" t="n"/>
      <c r="WC9" s="113" t="n"/>
      <c r="WD9" s="113" t="n"/>
      <c r="WE9" s="113" t="n"/>
      <c r="WF9" s="113" t="n"/>
      <c r="WG9" s="113" t="n"/>
      <c r="WH9" s="113" t="n"/>
      <c r="WI9" s="113" t="n"/>
      <c r="WJ9" s="113" t="n"/>
      <c r="WK9" s="113" t="n"/>
      <c r="WL9" s="113" t="n"/>
      <c r="WM9" s="113" t="n"/>
      <c r="WN9" s="113" t="n"/>
      <c r="WO9" s="113" t="n"/>
      <c r="WP9" s="113" t="n"/>
      <c r="WQ9" s="113" t="n"/>
      <c r="WR9" s="113" t="n"/>
      <c r="WS9" s="113" t="n"/>
      <c r="WT9" s="113" t="n"/>
      <c r="WU9" s="113" t="n"/>
      <c r="WV9" s="113" t="n"/>
      <c r="WW9" s="113" t="n"/>
      <c r="WX9" s="113" t="n"/>
      <c r="WY9" s="113" t="n"/>
      <c r="WZ9" s="113" t="n"/>
      <c r="XA9" s="113" t="n"/>
      <c r="XB9" s="113" t="n"/>
      <c r="XC9" s="113" t="n"/>
      <c r="XD9" s="113" t="n"/>
      <c r="XE9" s="113" t="n"/>
      <c r="XF9" s="113" t="n"/>
      <c r="XG9" s="113" t="n"/>
      <c r="XH9" s="113" t="n"/>
      <c r="XI9" s="113" t="n"/>
      <c r="XJ9" s="113" t="n"/>
      <c r="XK9" s="113" t="n"/>
      <c r="XL9" s="113" t="n"/>
      <c r="XM9" s="113" t="n"/>
      <c r="XN9" s="113" t="n"/>
      <c r="XO9" s="113" t="n"/>
      <c r="XP9" s="113" t="n"/>
      <c r="XQ9" s="113" t="n"/>
      <c r="XR9" s="113" t="n"/>
      <c r="XS9" s="113" t="n"/>
      <c r="XT9" s="113" t="n"/>
      <c r="XU9" s="113" t="n"/>
      <c r="XV9" s="113" t="n"/>
      <c r="XW9" s="113" t="n"/>
      <c r="XX9" s="113" t="n"/>
      <c r="XY9" s="113" t="n"/>
      <c r="XZ9" s="113" t="n"/>
      <c r="YA9" s="113" t="n"/>
      <c r="YB9" s="113" t="n"/>
      <c r="YC9" s="113" t="n"/>
      <c r="YD9" s="113" t="n"/>
      <c r="YE9" s="113" t="n"/>
      <c r="YF9" s="113" t="n"/>
      <c r="YG9" s="113" t="n"/>
      <c r="YH9" s="113" t="n"/>
      <c r="YI9" s="113" t="n"/>
      <c r="YJ9" s="113" t="n"/>
      <c r="YK9" s="113" t="n"/>
      <c r="YL9" s="113" t="n"/>
      <c r="YM9" s="113" t="n"/>
      <c r="YN9" s="113" t="n"/>
      <c r="YO9" s="113" t="n"/>
      <c r="YP9" s="113" t="n"/>
      <c r="YQ9" s="113" t="n"/>
      <c r="YR9" s="113" t="n"/>
      <c r="YS9" s="113" t="n"/>
      <c r="YT9" s="113" t="n"/>
      <c r="YU9" s="113" t="n"/>
      <c r="YV9" s="113" t="n"/>
      <c r="YW9" s="113" t="n"/>
      <c r="YX9" s="113" t="n"/>
      <c r="YY9" s="113" t="n"/>
      <c r="YZ9" s="113" t="n"/>
      <c r="ZA9" s="113" t="n"/>
      <c r="ZB9" s="113" t="n"/>
      <c r="ZC9" s="113" t="n"/>
      <c r="ZD9" s="113" t="n"/>
      <c r="ZE9" s="113" t="n"/>
      <c r="ZF9" s="113" t="n"/>
      <c r="ZG9" s="113" t="n"/>
      <c r="ZH9" s="113" t="n"/>
      <c r="ZI9" s="113" t="n"/>
      <c r="ZJ9" s="113" t="n"/>
      <c r="ZK9" s="113" t="n"/>
      <c r="ZL9" s="113" t="n"/>
      <c r="ZM9" s="113" t="n"/>
      <c r="ZN9" s="113" t="n"/>
      <c r="ZO9" s="113" t="n"/>
      <c r="ZP9" s="113" t="n"/>
      <c r="ZQ9" s="113" t="n"/>
      <c r="ZR9" s="113" t="n"/>
      <c r="ZS9" s="113" t="n"/>
      <c r="ZT9" s="113" t="n"/>
      <c r="ZU9" s="113" t="n"/>
      <c r="ZV9" s="113" t="n"/>
      <c r="ZW9" s="113" t="n"/>
      <c r="ZX9" s="113" t="n"/>
      <c r="ZY9" s="113" t="n"/>
      <c r="ZZ9" s="113" t="n"/>
      <c r="AAA9" s="113" t="n"/>
      <c r="AAB9" s="113" t="n"/>
      <c r="AAC9" s="113" t="n"/>
      <c r="AAD9" s="113" t="n"/>
      <c r="AAE9" s="113" t="n"/>
      <c r="AAF9" s="113" t="n"/>
      <c r="AAG9" s="113" t="n"/>
      <c r="AAH9" s="113" t="n"/>
      <c r="AAI9" s="113" t="n"/>
      <c r="AAJ9" s="113" t="n"/>
      <c r="AAK9" s="113" t="n"/>
      <c r="AAL9" s="113" t="n"/>
      <c r="AAM9" s="113" t="n"/>
      <c r="AAN9" s="113" t="n"/>
      <c r="AAO9" s="113" t="n"/>
      <c r="AAP9" s="113" t="n"/>
      <c r="AAQ9" s="113" t="n"/>
      <c r="AAR9" s="113" t="n"/>
      <c r="AAS9" s="113" t="n"/>
      <c r="AAT9" s="113" t="n"/>
      <c r="AAU9" s="113" t="n"/>
      <c r="AAV9" s="113" t="n"/>
      <c r="AAW9" s="113" t="n"/>
      <c r="AAX9" s="113" t="n"/>
      <c r="AAY9" s="113" t="n"/>
      <c r="AAZ9" s="113" t="n"/>
      <c r="ABA9" s="113" t="n"/>
      <c r="ABB9" s="113" t="n"/>
      <c r="ABC9" s="113" t="n"/>
      <c r="ABD9" s="113" t="n"/>
      <c r="ABE9" s="113" t="n"/>
      <c r="ABF9" s="113" t="n"/>
      <c r="ABG9" s="113" t="n"/>
      <c r="ABH9" s="113" t="n"/>
      <c r="ABI9" s="113" t="n"/>
      <c r="ABJ9" s="113" t="n"/>
      <c r="ABK9" s="113" t="n"/>
      <c r="ABL9" s="113" t="n"/>
      <c r="ABM9" s="113" t="n"/>
      <c r="ABN9" s="113" t="n"/>
      <c r="ABO9" s="113" t="n"/>
      <c r="ABP9" s="113" t="n"/>
      <c r="ABQ9" s="113" t="n"/>
      <c r="ABR9" s="113" t="n"/>
      <c r="ABS9" s="113" t="n"/>
      <c r="ABT9" s="113" t="n"/>
      <c r="ABU9" s="113" t="n"/>
      <c r="ABV9" s="113" t="n"/>
      <c r="ABW9" s="113" t="n"/>
      <c r="ABX9" s="113" t="n"/>
      <c r="ABY9" s="113" t="n"/>
      <c r="ABZ9" s="113" t="n"/>
      <c r="ACA9" s="113" t="n"/>
      <c r="ACB9" s="113" t="n"/>
      <c r="ACC9" s="113" t="n"/>
      <c r="ACD9" s="113" t="n"/>
      <c r="ACE9" s="113" t="n"/>
      <c r="ACF9" s="113" t="n"/>
      <c r="ACG9" s="113" t="n"/>
      <c r="ACH9" s="113" t="n"/>
      <c r="ACI9" s="113" t="n"/>
      <c r="ACJ9" s="113" t="n"/>
      <c r="ACK9" s="113" t="n"/>
      <c r="ACL9" s="113" t="n"/>
      <c r="ACM9" s="113" t="n"/>
      <c r="ACN9" s="113" t="n"/>
      <c r="ACO9" s="113" t="n"/>
      <c r="ACP9" s="113" t="n"/>
      <c r="ACQ9" s="113" t="n"/>
      <c r="ACR9" s="113" t="n"/>
      <c r="ACS9" s="113" t="n"/>
      <c r="ACT9" s="113" t="n"/>
      <c r="ACU9" s="113" t="n"/>
      <c r="ACV9" s="113" t="n"/>
      <c r="ACW9" s="113" t="n"/>
      <c r="ACX9" s="113" t="n"/>
      <c r="ACY9" s="113" t="n"/>
      <c r="ACZ9" s="113" t="n"/>
      <c r="ADA9" s="113" t="n"/>
      <c r="ADB9" s="113" t="n"/>
      <c r="ADC9" s="113" t="n"/>
      <c r="ADD9" s="113" t="n"/>
      <c r="ADE9" s="113" t="n"/>
      <c r="ADF9" s="113" t="n"/>
      <c r="ADG9" s="113" t="n"/>
      <c r="ADH9" s="113" t="n"/>
      <c r="ADI9" s="113" t="n"/>
      <c r="ADJ9" s="113" t="n"/>
      <c r="ADK9" s="113" t="n"/>
      <c r="ADL9" s="113" t="n"/>
      <c r="ADM9" s="113" t="n"/>
      <c r="ADN9" s="113" t="n"/>
      <c r="ADO9" s="113" t="n"/>
      <c r="ADP9" s="113" t="n"/>
      <c r="ADQ9" s="113" t="n"/>
      <c r="ADR9" s="113" t="n"/>
      <c r="ADS9" s="113" t="n"/>
      <c r="ADT9" s="113" t="n"/>
      <c r="ADU9" s="113" t="n"/>
      <c r="ADV9" s="113" t="n"/>
      <c r="ADW9" s="113" t="n"/>
      <c r="ADX9" s="113" t="n"/>
      <c r="ADY9" s="113" t="n"/>
      <c r="ADZ9" s="113" t="n"/>
      <c r="AEA9" s="113" t="n"/>
      <c r="AEB9" s="113" t="n"/>
      <c r="AEC9" s="113" t="n"/>
      <c r="AED9" s="113" t="n"/>
      <c r="AEE9" s="113" t="n"/>
      <c r="AEF9" s="113" t="n"/>
      <c r="AEG9" s="113" t="n"/>
      <c r="AEH9" s="113" t="n"/>
      <c r="AEI9" s="113" t="n"/>
      <c r="AEJ9" s="113" t="n"/>
      <c r="AEK9" s="113" t="n"/>
      <c r="AEL9" s="113" t="n"/>
      <c r="AEM9" s="113" t="n"/>
      <c r="AEN9" s="113" t="n"/>
      <c r="AEO9" s="113" t="n"/>
      <c r="AEP9" s="113" t="n"/>
      <c r="AEQ9" s="113" t="n"/>
      <c r="AER9" s="113" t="n"/>
      <c r="AES9" s="113" t="n"/>
      <c r="AET9" s="113" t="n"/>
      <c r="AEU9" s="113" t="n"/>
      <c r="AEV9" s="113" t="n"/>
      <c r="AEW9" s="113" t="n"/>
      <c r="AEX9" s="113" t="n"/>
      <c r="AEY9" s="113" t="n"/>
      <c r="AEZ9" s="113" t="n"/>
      <c r="AFA9" s="113" t="n"/>
      <c r="AFB9" s="113" t="n"/>
      <c r="AFC9" s="113" t="n"/>
      <c r="AFD9" s="113" t="n"/>
      <c r="AFE9" s="113" t="n"/>
      <c r="AFF9" s="113" t="n"/>
      <c r="AFG9" s="113" t="n"/>
      <c r="AFH9" s="113" t="n"/>
      <c r="AFI9" s="113" t="n"/>
      <c r="AFJ9" s="113" t="n"/>
      <c r="AFK9" s="113" t="n"/>
      <c r="AFL9" s="113" t="n"/>
      <c r="AFM9" s="113" t="n"/>
      <c r="AFN9" s="113" t="n"/>
      <c r="AFO9" s="113" t="n"/>
      <c r="AFP9" s="113" t="n"/>
      <c r="AFQ9" s="113" t="n"/>
      <c r="AFR9" s="113" t="n"/>
      <c r="AFS9" s="113" t="n"/>
      <c r="AFT9" s="113" t="n"/>
      <c r="AFU9" s="113" t="n"/>
      <c r="AFV9" s="113" t="n"/>
      <c r="AFW9" s="113" t="n"/>
      <c r="AFX9" s="113" t="n"/>
      <c r="AFY9" s="113" t="n"/>
      <c r="AFZ9" s="113" t="n"/>
      <c r="AGA9" s="113" t="n"/>
      <c r="AGB9" s="113" t="n"/>
      <c r="AGC9" s="113" t="n"/>
      <c r="AGD9" s="113" t="n"/>
      <c r="AGE9" s="113" t="n"/>
      <c r="AGF9" s="113" t="n"/>
      <c r="AGG9" s="113" t="n"/>
      <c r="AGH9" s="113" t="n"/>
      <c r="AGI9" s="113" t="n"/>
      <c r="AGJ9" s="113" t="n"/>
      <c r="AGK9" s="113" t="n"/>
      <c r="AGL9" s="113" t="n"/>
      <c r="AGM9" s="113" t="n"/>
      <c r="AGN9" s="113" t="n"/>
      <c r="AGO9" s="113" t="n"/>
      <c r="AGP9" s="113" t="n"/>
      <c r="AGQ9" s="113" t="n"/>
      <c r="AGR9" s="113" t="n"/>
      <c r="AGS9" s="113" t="n"/>
      <c r="AGT9" s="113" t="n"/>
      <c r="AGU9" s="113" t="n"/>
      <c r="AGV9" s="113" t="n"/>
      <c r="AGW9" s="113" t="n"/>
      <c r="AGX9" s="113" t="n"/>
      <c r="AGY9" s="113" t="n"/>
      <c r="AGZ9" s="113" t="n"/>
      <c r="AHA9" s="113" t="n"/>
      <c r="AHB9" s="113" t="n"/>
      <c r="AHC9" s="113" t="n"/>
      <c r="AHD9" s="113" t="n"/>
      <c r="AHE9" s="113" t="n"/>
      <c r="AHF9" s="113" t="n"/>
      <c r="AHG9" s="113" t="n"/>
      <c r="AHH9" s="113" t="n"/>
      <c r="AHI9" s="113" t="n"/>
      <c r="AHJ9" s="113" t="n"/>
      <c r="AHK9" s="113" t="n"/>
      <c r="AHL9" s="113" t="n"/>
      <c r="AHM9" s="113" t="n"/>
      <c r="AHN9" s="113" t="n"/>
      <c r="AHO9" s="113" t="n"/>
      <c r="AHP9" s="113" t="n"/>
      <c r="AHQ9" s="113" t="n"/>
      <c r="AHR9" s="113" t="n"/>
      <c r="AHS9" s="113" t="n"/>
      <c r="AHT9" s="113" t="n"/>
      <c r="AHU9" s="113" t="n"/>
      <c r="AHV9" s="113" t="n"/>
      <c r="AHW9" s="113" t="n"/>
      <c r="AHX9" s="113" t="n"/>
      <c r="AHY9" s="113" t="n"/>
      <c r="AHZ9" s="113" t="n"/>
      <c r="AIA9" s="113" t="n"/>
      <c r="AIB9" s="113" t="n"/>
      <c r="AIC9" s="113" t="n"/>
      <c r="AID9" s="113" t="n"/>
      <c r="AIE9" s="113" t="n"/>
      <c r="AIF9" s="113" t="n"/>
      <c r="AIG9" s="113" t="n"/>
      <c r="AIH9" s="113" t="n"/>
      <c r="AII9" s="113" t="n"/>
      <c r="AIJ9" s="113" t="n"/>
      <c r="AIK9" s="113" t="n"/>
      <c r="AIL9" s="113" t="n"/>
      <c r="AIM9" s="113" t="n"/>
      <c r="AIN9" s="113" t="n"/>
      <c r="AIO9" s="113" t="n"/>
      <c r="AIP9" s="113" t="n"/>
      <c r="AIQ9" s="113" t="n"/>
      <c r="AIR9" s="113" t="n"/>
      <c r="AIS9" s="113" t="n"/>
      <c r="AIT9" s="113" t="n"/>
      <c r="AIU9" s="113" t="n"/>
      <c r="AIV9" s="113" t="n"/>
      <c r="AIW9" s="113" t="n"/>
      <c r="AIX9" s="113" t="n"/>
      <c r="AIY9" s="113" t="n"/>
      <c r="AIZ9" s="113" t="n"/>
      <c r="AJA9" s="113" t="n"/>
      <c r="AJB9" s="113" t="n"/>
      <c r="AJC9" s="113" t="n"/>
      <c r="AJD9" s="113" t="n"/>
      <c r="AJE9" s="113" t="n"/>
      <c r="AJF9" s="113" t="n"/>
      <c r="AJG9" s="113" t="n"/>
      <c r="AJH9" s="113" t="n"/>
      <c r="AJI9" s="113" t="n"/>
      <c r="AJJ9" s="113" t="n"/>
      <c r="AJK9" s="113" t="n"/>
      <c r="AJL9" s="113" t="n"/>
      <c r="AJM9" s="113" t="n"/>
      <c r="AJN9" s="113" t="n"/>
      <c r="AJO9" s="113" t="n"/>
      <c r="AJP9" s="113" t="n"/>
      <c r="AJQ9" s="113" t="n"/>
      <c r="AJR9" s="113" t="n"/>
      <c r="AJS9" s="113" t="n"/>
      <c r="AJT9" s="113" t="n"/>
      <c r="AJU9" s="113" t="n"/>
      <c r="AJV9" s="113" t="n"/>
      <c r="AJW9" s="113" t="n"/>
      <c r="AJX9" s="113" t="n"/>
      <c r="AJY9" s="113" t="n"/>
      <c r="AJZ9" s="113" t="n"/>
      <c r="AKA9" s="113" t="n"/>
      <c r="AKB9" s="113" t="n"/>
      <c r="AKC9" s="113" t="n"/>
      <c r="AKD9" s="113" t="n"/>
      <c r="AKE9" s="113" t="n"/>
      <c r="AKF9" s="113" t="n"/>
      <c r="AKG9" s="113" t="n"/>
      <c r="AKH9" s="113" t="n"/>
      <c r="AKI9" s="113" t="n"/>
      <c r="AKJ9" s="113" t="n"/>
      <c r="AKK9" s="113" t="n"/>
      <c r="AKL9" s="113" t="n"/>
      <c r="AKM9" s="113" t="n"/>
      <c r="AKN9" s="113" t="n"/>
      <c r="AKO9" s="113" t="n"/>
      <c r="AKP9" s="113" t="n"/>
      <c r="AKQ9" s="113" t="n"/>
      <c r="AKR9" s="113" t="n"/>
      <c r="AKS9" s="113" t="n"/>
      <c r="AKT9" s="113" t="n"/>
      <c r="AKU9" s="113" t="n"/>
      <c r="AKV9" s="113" t="n"/>
      <c r="AKW9" s="113" t="n"/>
      <c r="AKX9" s="113" t="n"/>
      <c r="AKY9" s="114" t="n"/>
    </row>
    <row r="10" ht="28.75" customFormat="1" customHeight="1" s="113">
      <c r="A10" s="106" t="inlineStr">
        <is>
          <t>厉鹏</t>
        </is>
      </c>
      <c r="B10" s="106" t="n">
        <v>17000</v>
      </c>
      <c r="C10" s="106" t="n">
        <v>15020066237</v>
      </c>
      <c r="D10" s="106" t="inlineStr">
        <is>
          <t>870203396@qq</t>
        </is>
      </c>
      <c r="E10" s="106" t="inlineStr">
        <is>
          <t>‘370782199309261119</t>
        </is>
      </c>
      <c r="F10" s="111" t="inlineStr">
        <is>
          <t>2024/7/31(周三)</t>
        </is>
      </c>
      <c r="G10" s="111" t="n"/>
      <c r="H10" s="106" t="n">
        <v>2700</v>
      </c>
      <c r="I10" s="106" t="inlineStr">
        <is>
          <t>本科</t>
        </is>
      </c>
      <c r="J10" s="106" t="inlineStr">
        <is>
          <t xml:space="preserve">2024.06-至今南京文石信息科技有限公司 安卓 </t>
        </is>
      </c>
      <c r="K10" s="106" t="inlineStr">
        <is>
          <t>山东省诸城市枳沟镇</t>
        </is>
      </c>
      <c r="L10" s="106" t="inlineStr">
        <is>
          <t>胡贸义</t>
        </is>
      </c>
      <c r="M10" s="106" t="n">
        <v>15712884522</v>
      </c>
      <c r="N10" s="106" t="inlineStr">
        <is>
          <t>未婚</t>
        </is>
      </c>
      <c r="O10" s="106" t="n">
        <v>7</v>
      </c>
      <c r="P10" s="106" t="inlineStr">
        <is>
          <t>4494 2280*5%</t>
        </is>
      </c>
    </row>
    <row r="11" ht="28.75" customFormat="1" customHeight="1" s="113">
      <c r="A11" s="106" t="inlineStr">
        <is>
          <t>方宏伟</t>
        </is>
      </c>
      <c r="B11" s="106" t="n">
        <v>15000</v>
      </c>
      <c r="C11" s="106" t="n">
        <v>15357357128</v>
      </c>
      <c r="D11" s="106" t="inlineStr">
        <is>
          <t>2426012191@qq.com</t>
        </is>
      </c>
      <c r="E11" s="106" t="inlineStr">
        <is>
          <t>“340827199706061319</t>
        </is>
      </c>
      <c r="F11" s="111" t="inlineStr">
        <is>
          <t>2024/7/31(周三)</t>
        </is>
      </c>
      <c r="G11" s="112" t="n">
        <v>45506</v>
      </c>
      <c r="H11" s="106" t="n">
        <v>2000</v>
      </c>
      <c r="I11" s="106" t="inlineStr">
        <is>
          <t>本科</t>
        </is>
      </c>
      <c r="J11" s="106" t="inlineStr">
        <is>
          <t>2022年2月-至今 南京软通动力有限公司 安卓开发</t>
        </is>
      </c>
      <c r="K11" s="106" t="inlineStr">
        <is>
          <t>安徽省安庆市望江县丰大村</t>
        </is>
      </c>
      <c r="L11" s="106" t="inlineStr">
        <is>
          <t>洪珍枝（母子）</t>
        </is>
      </c>
      <c r="M11" s="106" t="n">
        <v>17760863301</v>
      </c>
      <c r="N11" s="106" t="inlineStr">
        <is>
          <t>未婚</t>
        </is>
      </c>
      <c r="O11" s="106" t="n">
        <v>4</v>
      </c>
      <c r="P11" s="106" t="inlineStr">
        <is>
          <t>4495 2280*5%</t>
        </is>
      </c>
    </row>
    <row r="12" ht="28.75" customFormat="1" customHeight="1" s="113">
      <c r="A12" s="106" t="inlineStr">
        <is>
          <t>徐晨威</t>
        </is>
      </c>
      <c r="B12" s="106" t="n">
        <v>16000</v>
      </c>
      <c r="C12" s="115" t="inlineStr">
        <is>
          <t xml:space="preserve">17812315231
</t>
        </is>
      </c>
      <c r="D12" s="116" t="inlineStr">
        <is>
          <t xml:space="preserve">xcw5321@163.com
</t>
        </is>
      </c>
      <c r="E12" s="115" t="inlineStr">
        <is>
          <t xml:space="preserve">412721199809085053
</t>
        </is>
      </c>
      <c r="F12" s="117" t="inlineStr">
        <is>
          <t>2024/7/31(周三)</t>
        </is>
      </c>
      <c r="G12" s="117" t="n"/>
      <c r="H12" s="106" t="n">
        <v>1200</v>
      </c>
      <c r="I12" s="106" t="inlineStr">
        <is>
          <t>专科</t>
        </is>
      </c>
      <c r="J12" s="106" t="inlineStr">
        <is>
          <t xml:space="preserve">2024.05-至今 南京文石信息科技有限公司 安卓开发 </t>
        </is>
      </c>
      <c r="K12" s="115" t="inlineStr">
        <is>
          <t xml:space="preserve">河南省周口市扶沟县
</t>
        </is>
      </c>
      <c r="L12" s="106" t="inlineStr">
        <is>
          <t>徐言伟(父子)</t>
        </is>
      </c>
      <c r="M12" s="115" t="inlineStr">
        <is>
          <t xml:space="preserve">15936066234
</t>
        </is>
      </c>
      <c r="N12" s="106" t="inlineStr">
        <is>
          <t>未婚</t>
        </is>
      </c>
      <c r="O12" s="106" t="n">
        <v>5</v>
      </c>
      <c r="P12" s="106" t="inlineStr">
        <is>
          <t>4496 2280*5%</t>
        </is>
      </c>
    </row>
    <row r="13" ht="28.75" customFormat="1" customHeight="1" s="113">
      <c r="A13" s="115" t="inlineStr">
        <is>
          <t>程洪利</t>
        </is>
      </c>
      <c r="B13" s="106" t="n">
        <v>14000</v>
      </c>
      <c r="C13" s="115" t="inlineStr">
        <is>
          <t xml:space="preserve">19653007601
</t>
        </is>
      </c>
      <c r="D13" s="118" t="inlineStr">
        <is>
          <t>19653007601@163.com</t>
        </is>
      </c>
      <c r="E13" s="115" t="inlineStr">
        <is>
          <t xml:space="preserve">371727200310230813
</t>
        </is>
      </c>
      <c r="F13" s="117" t="inlineStr">
        <is>
          <t>2024/7/31(周三)</t>
        </is>
      </c>
      <c r="G13" s="112" t="n">
        <v>45518</v>
      </c>
      <c r="H13" s="106" t="n">
        <v>1200</v>
      </c>
      <c r="I13" s="106" t="inlineStr">
        <is>
          <t>本科(民教)</t>
        </is>
      </c>
      <c r="J13" s="106" t="inlineStr">
        <is>
          <t>2023.2-至今 软通动力科技有限公司</t>
        </is>
      </c>
      <c r="K13" s="106" t="inlineStr">
        <is>
          <t>山东省菏泽市定陶区仿山镇顺河集行政村</t>
        </is>
      </c>
      <c r="L13" s="106" t="inlineStr">
        <is>
          <t>程相书(父子)</t>
        </is>
      </c>
      <c r="M13" s="106" t="n">
        <v>15102320058</v>
      </c>
      <c r="N13" s="106" t="inlineStr">
        <is>
          <t>未婚</t>
        </is>
      </c>
      <c r="O13" s="106" t="n">
        <v>4</v>
      </c>
      <c r="P13" s="106" t="inlineStr">
        <is>
          <t>4496 2280*5%</t>
        </is>
      </c>
    </row>
    <row r="14" ht="28.75" customFormat="1" customHeight="1" s="113">
      <c r="A14" s="106" t="inlineStr">
        <is>
          <t>李鹏飞</t>
        </is>
      </c>
      <c r="B14" s="106" t="n">
        <v>18000</v>
      </c>
      <c r="C14" s="106" t="n">
        <v>13675173459</v>
      </c>
      <c r="D14" s="106" t="inlineStr">
        <is>
          <t>1005904057@qq.com</t>
        </is>
      </c>
      <c r="E14" s="106" t="inlineStr">
        <is>
          <t>‘410381199509270014</t>
        </is>
      </c>
      <c r="F14" s="117" t="inlineStr">
        <is>
          <t>2024/7/31(周三)</t>
        </is>
      </c>
      <c r="G14" s="117" t="n"/>
      <c r="H14" s="106" t="n">
        <v>1500</v>
      </c>
      <c r="I14" s="106" t="inlineStr">
        <is>
          <t>本科</t>
        </is>
      </c>
      <c r="J14" s="106" t="inlineStr">
        <is>
          <t>2022.10-至今 南京伟思医疗科技有限公司</t>
        </is>
      </c>
      <c r="K14" s="106" t="inlineStr">
        <is>
          <t>河南洛阳偃师市岳滩镇寇圪垱村</t>
        </is>
      </c>
      <c r="L14" s="106" t="inlineStr">
        <is>
          <t>李继娜（姐弟）</t>
        </is>
      </c>
      <c r="M14" s="106" t="n">
        <v>17378512192</v>
      </c>
      <c r="N14" s="106" t="inlineStr">
        <is>
          <t>未婚</t>
        </is>
      </c>
      <c r="O14" s="106" t="n">
        <v>5</v>
      </c>
      <c r="P14" s="106" t="inlineStr">
        <is>
          <t>4497 2280*5%</t>
        </is>
      </c>
    </row>
    <row r="15" ht="28.75" customFormat="1" customHeight="1" s="113">
      <c r="A15" s="106" t="inlineStr">
        <is>
          <t>徐磊</t>
        </is>
      </c>
      <c r="B15" s="106" t="n">
        <v>21000</v>
      </c>
      <c r="C15" s="106" t="n">
        <v>15295752733</v>
      </c>
      <c r="D15" s="108" t="inlineStr">
        <is>
          <t xml:space="preserve"> 1047445332@qq.com</t>
        </is>
      </c>
      <c r="E15" s="522" t="inlineStr">
        <is>
          <t>320802199311080039</t>
        </is>
      </c>
      <c r="F15" s="109" t="inlineStr">
        <is>
          <t>2024/8/12(周一)</t>
        </is>
      </c>
      <c r="G15" s="109" t="n"/>
      <c r="H15" s="106" t="n">
        <v>2100</v>
      </c>
      <c r="I15" s="106" t="inlineStr">
        <is>
          <t>本科</t>
        </is>
      </c>
      <c r="J15" s="106" t="inlineStr">
        <is>
          <t xml:space="preserve">2024年3月-至今 江苏润和软件股份有限公司 C/C++ </t>
        </is>
      </c>
      <c r="K15" s="106" t="inlineStr">
        <is>
          <t xml:space="preserve"> 江苏省淮安市经济技术开发区钵池乡吕庄村五组64号</t>
        </is>
      </c>
      <c r="L15" s="106" t="inlineStr">
        <is>
          <t>徐士明（父子）</t>
        </is>
      </c>
      <c r="M15" s="106" t="n">
        <v>18252368588</v>
      </c>
      <c r="N15" s="106" t="inlineStr">
        <is>
          <t>未婚</t>
        </is>
      </c>
      <c r="O15" s="106" t="n">
        <v>9</v>
      </c>
      <c r="P15" s="106" t="inlineStr">
        <is>
          <t>4494 2280*5%</t>
        </is>
      </c>
    </row>
    <row r="18" ht="15" customHeight="1" s="558">
      <c r="A18" s="119" t="inlineStr">
        <is>
          <t>小米注意事项</t>
        </is>
      </c>
    </row>
    <row r="19" ht="15.6" customHeight="1" s="558">
      <c r="A19" s="120" t="inlineStr">
        <is>
          <t>类目</t>
        </is>
      </c>
      <c r="B19" s="121" t="inlineStr">
        <is>
          <t>详细</t>
        </is>
      </c>
      <c r="G19" s="628" t="inlineStr">
        <is>
          <t>注意</t>
        </is>
      </c>
      <c r="H19" s="629" t="n"/>
      <c r="I19" s="120" t="inlineStr">
        <is>
          <t>节点</t>
        </is>
      </c>
    </row>
    <row r="20" ht="78" customHeight="1" s="558">
      <c r="A20" s="124" t="inlineStr">
        <is>
          <t>offer</t>
        </is>
      </c>
      <c r="B20" s="125" t="inlineStr">
        <is>
          <t xml:space="preserve">1.资料:学历学信网报告、学历学位证证书、毕业证照片
2.信息：填在“名单”表：身份证号码、常用电话号码&amp;常用邮箱（简历里一致）、婚育情况、户籍地精确到门牌号、紧急联系人姓名、与本人关系、紧急联系人 联系电话 
</t>
        </is>
      </c>
      <c r="G20" s="630" t="inlineStr">
        <is>
          <t>提供的信息全流程一致</t>
        </is>
      </c>
      <c r="H20" s="629" t="n"/>
      <c r="I20" s="128" t="inlineStr">
        <is>
          <t>越快提供越好</t>
        </is>
      </c>
    </row>
    <row r="21" ht="78" customHeight="1" s="558">
      <c r="A21" s="128" t="inlineStr">
        <is>
          <t>简历</t>
        </is>
      </c>
      <c r="B21" s="129" t="inlineStr">
        <is>
          <t>工作履历时间线完整、教育经历完整</t>
        </is>
      </c>
      <c r="G21" s="630" t="inlineStr">
        <is>
          <t>提供的信息全流程一致</t>
        </is>
      </c>
      <c r="H21" s="629" t="n"/>
      <c r="I21" s="128" t="inlineStr">
        <is>
          <t>越快提供越好</t>
        </is>
      </c>
    </row>
    <row r="22" ht="78" customHeight="1" s="558">
      <c r="A22" s="128" t="inlineStr">
        <is>
          <t>入职材料</t>
        </is>
      </c>
      <c r="B22" s="129" t="inlineStr">
        <is>
          <t>1）毕业证、学历验证报告
2）身份证正反面 
3）招商银行储蓄卡（工资卡） 
4）3个月内体检报告（必检：肝功能 肾功能 血常规 尿检 胸透） 
5）离职证明 
6）一寸白底免冠照</t>
        </is>
      </c>
      <c r="G22" s="630" t="inlineStr">
        <is>
          <t xml:space="preserve">1.离职证明，登记信息时就要提供
2.体检报告，最迟入职后一周内，提交。（最好在入职前提交，如不能，需告知我，并让员工登记健康承诺书，并上传至信息采集“体检报告字段”）
</t>
        </is>
      </c>
      <c r="H22" s="629" t="n"/>
      <c r="I22" s="128" t="inlineStr">
        <is>
          <t>offer发送之后，线上登记链接，直接上传，无需单独发我</t>
        </is>
      </c>
    </row>
    <row r="23" ht="78" customHeight="1" s="558">
      <c r="A23" s="131" t="inlineStr">
        <is>
          <t>体检开票信息</t>
        </is>
      </c>
      <c r="B23" s="129" t="inlineStr">
        <is>
          <t>名称：南京畅索软件科技有限公司
纳税人识别号：91320114MA1YYND35Q
开户行：中国银行股份有限公司南京城南支行
银行账号：523573750251
地址：南京市雨花台区软件大道109号4幢602室
电话：02583291677</t>
        </is>
      </c>
      <c r="G23" s="631" t="inlineStr">
        <is>
          <t>三甲医院/体检机构
必检：肝功能 肾功能 血常规 尿检 胸透</t>
        </is>
      </c>
      <c r="H23" s="629" t="n"/>
      <c r="I23" s="131" t="n"/>
    </row>
    <row r="24" ht="21" customHeight="1" s="558"/>
    <row r="25" ht="21" customHeight="1" s="558"/>
    <row r="26" ht="21" customHeight="1" s="558"/>
    <row r="27" ht="21" customHeight="1" s="558"/>
    <row r="28" ht="21" customHeight="1" s="558"/>
  </sheetData>
  <mergeCells count="11">
    <mergeCell ref="B21:F21"/>
    <mergeCell ref="G21:H21"/>
    <mergeCell ref="G20:H20"/>
    <mergeCell ref="B20:F20"/>
    <mergeCell ref="B19:F19"/>
    <mergeCell ref="G19:H19"/>
    <mergeCell ref="A18:I18"/>
    <mergeCell ref="B23:F23"/>
    <mergeCell ref="G23:H23"/>
    <mergeCell ref="B22:F22"/>
    <mergeCell ref="G22:H22"/>
  </mergeCells>
  <hyperlinks>
    <hyperlink xmlns:r="http://schemas.openxmlformats.org/officeDocument/2006/relationships" ref="D2" display="dsk18331976035@163.com" r:id="rId1"/>
    <hyperlink xmlns:r="http://schemas.openxmlformats.org/officeDocument/2006/relationships" ref="D3" display="2987766586@qq.com" r:id="rId2"/>
    <hyperlink xmlns:r="http://schemas.openxmlformats.org/officeDocument/2006/relationships" ref="D5" display="194924807@qq.com" r:id="rId3"/>
    <hyperlink xmlns:r="http://schemas.openxmlformats.org/officeDocument/2006/relationships" ref="D6" display="n13241139222@163.com" r:id="rId4"/>
    <hyperlink xmlns:r="http://schemas.openxmlformats.org/officeDocument/2006/relationships" ref="D7" display="spacex12@126.com" r:id="rId5"/>
    <hyperlink xmlns:r="http://schemas.openxmlformats.org/officeDocument/2006/relationships" ref="D8" display="372601669@qq.com" r:id="rId6"/>
    <hyperlink xmlns:r="http://schemas.openxmlformats.org/officeDocument/2006/relationships" ref="D12" display="xcw5321@163.com&#10;" r:id="rId7"/>
    <hyperlink xmlns:r="http://schemas.openxmlformats.org/officeDocument/2006/relationships" ref="D13" display="19653007601@163.com" r:id="rId8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8"/>
  <sheetViews>
    <sheetView zoomScale="80" zoomScaleNormal="80" workbookViewId="0">
      <pane ySplit="1" topLeftCell="A122" activePane="bottomLeft" state="frozen"/>
      <selection activeCell="A1" sqref="A1"/>
      <selection pane="bottomLeft" activeCell="C134" sqref="C134"/>
    </sheetView>
  </sheetViews>
  <sheetFormatPr baseColWidth="8" defaultColWidth="8.888888888888889" defaultRowHeight="15" customHeight="1"/>
  <cols>
    <col width="41.6666666666667" customWidth="1" style="98" min="1" max="1"/>
    <col width="47.9166666666667" customWidth="1" style="98" min="2" max="2"/>
    <col width="118.777777777778" customWidth="1" style="98" min="3" max="3"/>
    <col width="7" customWidth="1" style="98" min="4" max="7"/>
    <col width="8.888888888888889" customWidth="1" style="98" min="8" max="16384"/>
  </cols>
  <sheetData>
    <row r="1" s="558">
      <c r="A1" s="99" t="inlineStr">
        <is>
          <t>姓名</t>
        </is>
      </c>
      <c r="B1" s="99" t="inlineStr">
        <is>
          <t>已使用年假天数</t>
        </is>
      </c>
      <c r="C1" s="99" t="inlineStr">
        <is>
          <t>备注</t>
        </is>
      </c>
    </row>
    <row r="2" s="558">
      <c r="A2" s="98" t="inlineStr">
        <is>
          <t>刘郴-2024/3/11入职</t>
        </is>
      </c>
      <c r="B2" s="98" t="inlineStr">
        <is>
          <t>第一年度2</t>
        </is>
      </c>
      <c r="C2" s="98" t="inlineStr">
        <is>
          <t>25年3月20日和3.21日 文石使用年假2天，创达算事假</t>
        </is>
      </c>
    </row>
    <row r="3" s="558">
      <c r="A3" s="98" t="inlineStr">
        <is>
          <t>孙存浩-2024/3/6入职</t>
        </is>
      </c>
      <c r="B3" s="98" t="inlineStr">
        <is>
          <t>第一年度2</t>
        </is>
      </c>
      <c r="C3" s="98" t="inlineStr">
        <is>
          <t>1月24日-1.27日共请假3天，其中2天用后面年假抵扣，特批，事假1天</t>
        </is>
      </c>
    </row>
    <row r="4" s="558">
      <c r="A4" s="98" t="inlineStr">
        <is>
          <t>孙存浩-2024/3/6入职</t>
        </is>
      </c>
      <c r="B4" s="98" t="inlineStr">
        <is>
          <t>第一年度2</t>
        </is>
      </c>
      <c r="C4" s="98" t="inlineStr">
        <is>
          <t>年假04-02 和04-03年假2天</t>
        </is>
      </c>
    </row>
    <row r="5" s="558">
      <c r="A5" s="98" t="inlineStr">
        <is>
          <t>刘梦焕-2024/4/22入职</t>
        </is>
      </c>
      <c r="B5" s="98" t="inlineStr">
        <is>
          <t>第一年度4</t>
        </is>
      </c>
      <c r="C5" s="98" t="inlineStr">
        <is>
          <t>2025-04-27-2025-04-30使用年假4天，实际地平线是事假</t>
        </is>
      </c>
    </row>
    <row r="6" s="558">
      <c r="A6" s="98" t="inlineStr">
        <is>
          <t>刘郴-2024/3/11入职</t>
        </is>
      </c>
      <c r="B6" s="98" t="inlineStr">
        <is>
          <t>第一年度3</t>
        </is>
      </c>
      <c r="C6" s="98" t="inlineStr">
        <is>
          <t>2025-04-28-2025-04-30使用年假3天，实际地平线是事假</t>
        </is>
      </c>
    </row>
    <row r="7" s="558">
      <c r="A7" s="98" t="inlineStr">
        <is>
          <t>李友良-TS负责WS不管</t>
        </is>
      </c>
      <c r="B7" s="98" t="inlineStr">
        <is>
          <t>TS的3天</t>
        </is>
      </c>
      <c r="C7" s="98" t="inlineStr">
        <is>
          <t>李友良于2025.04.27-2025.04.30请四天假，实际3天年假，1天事假</t>
        </is>
      </c>
    </row>
    <row r="8" s="558">
      <c r="A8" s="98" t="inlineStr">
        <is>
          <t>欧阳成-2024/3/25入职</t>
        </is>
      </c>
      <c r="B8" s="98" t="inlineStr">
        <is>
          <t>第一年度5</t>
        </is>
      </c>
      <c r="C8" s="98" t="inlineStr">
        <is>
          <t>员工欧阳成现申请5天年假，剩余5-5天，于2025.04.30-2025.05.9请5天假</t>
        </is>
      </c>
    </row>
    <row r="9" s="558">
      <c r="A9" s="98" t="inlineStr">
        <is>
          <t>魏正南-2024/1/22入职</t>
        </is>
      </c>
      <c r="B9" s="98" t="inlineStr">
        <is>
          <t>第一年度2</t>
        </is>
      </c>
      <c r="C9" s="98" t="inlineStr">
        <is>
          <t>魏正南2025年4月29日至30日休年假2天，剩余3天</t>
        </is>
      </c>
    </row>
    <row r="10" s="558">
      <c r="A10" s="98" t="inlineStr">
        <is>
          <t>方强强-2024/3/18入职</t>
        </is>
      </c>
      <c r="B10" s="98" t="inlineStr">
        <is>
          <t>第一年度4</t>
        </is>
      </c>
      <c r="C10" s="98" t="inlineStr">
        <is>
          <t>员工方强强现申请4天年假，剩余5-4天，年假申请已通过，于2025.04.27-2025.04.30请四天年假</t>
        </is>
      </c>
    </row>
    <row r="11" s="558">
      <c r="A11" s="98" t="inlineStr">
        <is>
          <t>窦振伟-2024/2/21入职</t>
        </is>
      </c>
      <c r="B11" s="98" t="inlineStr">
        <is>
          <t>第一年度2</t>
        </is>
      </c>
      <c r="C11" s="98" t="inlineStr">
        <is>
          <t>2025年5月12日和5月13日使用年假2天，目前剩余5-2</t>
        </is>
      </c>
      <c r="D11" s="98">
        <f>_xlfn.DISPIMG("ID_9B48F8D0FE154AFEAB473A11A561ECCA",1)</f>
        <v/>
      </c>
    </row>
    <row r="12" s="558">
      <c r="A12" s="98" t="inlineStr">
        <is>
          <t>刘梦焕-2024/4/22入职</t>
        </is>
      </c>
      <c r="B12" s="98" t="inlineStr">
        <is>
          <t>第一年度1</t>
        </is>
      </c>
      <c r="C12" s="98" t="inlineStr">
        <is>
          <t>2025-05-30使用年假1天，实际地平线是事假</t>
        </is>
      </c>
    </row>
    <row r="13" s="558">
      <c r="A13" s="98" t="inlineStr">
        <is>
          <t>江杰-2024/5/20入职</t>
        </is>
      </c>
      <c r="B13" s="98" t="inlineStr">
        <is>
          <t>第一年度2</t>
        </is>
      </c>
      <c r="C13" s="98" t="inlineStr">
        <is>
          <t>员工江杰现申请2天年假，日期2025年6月16 和6月17日剩于5-2=3</t>
        </is>
      </c>
      <c r="D13" s="98">
        <f>_xlfn.DISPIMG("ID_D844D189369947209504CB86AD1A80A8",1)</f>
        <v/>
      </c>
    </row>
    <row r="14" s="558">
      <c r="A14" s="98" t="inlineStr">
        <is>
          <t>江杰-2024/5/20入职</t>
        </is>
      </c>
      <c r="B14" s="98" t="inlineStr">
        <is>
          <t>第一年度1</t>
        </is>
      </c>
      <c r="C14" s="98" t="inlineStr">
        <is>
          <t>员工江杰现申请1天年假，日期2025-7-1，剩于3-1=2</t>
        </is>
      </c>
      <c r="D14" s="98">
        <f>_xlfn.DISPIMG("ID_73ABF98BB75945E59E6F48B74B58685F",1)</f>
        <v/>
      </c>
    </row>
    <row r="15" customFormat="1" s="98">
      <c r="A15" s="98" t="inlineStr">
        <is>
          <t>吴学艺-2024/2/19入职</t>
        </is>
      </c>
      <c r="B15" s="98" t="inlineStr">
        <is>
          <t>第一年度延长</t>
        </is>
      </c>
      <c r="C15" s="100" t="inlineStr">
        <is>
          <t>员工吴学艺 【智能驾驶系统产品线-系统硬件部-硬件工程-车辆改装 -智能驾驶整车改装工程师】 2024年2月19日入职：按照公司规则入职满一年释放5天年假，有效期2个月内；现因年假已于2025年4月20日过期，发此邮件特殊申请年假延长1个月使用期（至2025年7月24日），并承诺：“绝不泄露此事，否则自愿接受公司收回年假相关处罚”，望特批！</t>
        </is>
      </c>
    </row>
    <row r="16" s="558">
      <c r="A16" s="98" t="inlineStr">
        <is>
          <t>王风雄-2024/2/26入职</t>
        </is>
      </c>
      <c r="B16" s="98" t="inlineStr">
        <is>
          <t>第一年度延长</t>
        </is>
      </c>
      <c r="C16" s="100" t="inlineStr">
        <is>
          <t>员工王风雄【智能驾驶系统产品线-系统硬件部-硬件工程-车辆改装 -智能驾驶整车改装工程师】 2024年2月26日入职；
按照公司规则入职满一年释放5天年假，有效期2个月内；现因年假已于2025年4月27日过期，发此邮件特殊申请年假延长1个月使用期（至2025年7月24日），并承诺：“绝不泄露此事，否则自愿接受公司收回年假相关处罚”，望特批！</t>
        </is>
      </c>
    </row>
    <row r="17" s="558">
      <c r="A17" s="98" t="inlineStr">
        <is>
          <t>刘深园-2024/6/24入职</t>
        </is>
      </c>
      <c r="B17" s="98" t="inlineStr">
        <is>
          <t>第一年度2</t>
        </is>
      </c>
      <c r="C17" s="98" t="inlineStr">
        <is>
          <t>员工刘深园现申请2天年假，日期是：2025年7.11日和7月14日，剩余5-2天</t>
        </is>
      </c>
      <c r="D17" s="98">
        <f>_xlfn.DISPIMG("ID_34354BD7E4E349448889FB917283BFA0",1)</f>
        <v/>
      </c>
      <c r="E17" s="98">
        <f>_xlfn.DISPIMG("ID_085BA65D71E246F89278B3C7B05A6E5A",1)</f>
        <v/>
      </c>
    </row>
    <row r="18" s="558">
      <c r="A18" s="98" t="inlineStr">
        <is>
          <t>吴学艺-2024/2/19入职</t>
        </is>
      </c>
      <c r="B18" s="98" t="inlineStr">
        <is>
          <t>第一年度5</t>
        </is>
      </c>
      <c r="C18" s="98" t="inlineStr">
        <is>
          <t>员工吴学艺 7月7日-7月11日，现申请5天年假，剩余5-5=0 望领导批准。</t>
        </is>
      </c>
    </row>
    <row r="19" s="558">
      <c r="A19" s="98" t="inlineStr">
        <is>
          <t>王风雄-2024/2/26入职</t>
        </is>
      </c>
      <c r="B19" s="98" t="inlineStr">
        <is>
          <t>第一年度3天</t>
        </is>
      </c>
      <c r="C19" s="98" t="inlineStr">
        <is>
          <t>王风雄2025年7.14 7.15  7.16三天年假 剩余5-3=2</t>
        </is>
      </c>
    </row>
    <row r="20" s="558">
      <c r="A20" s="98" t="inlineStr">
        <is>
          <t>江杰-2024/5/20入职</t>
        </is>
      </c>
      <c r="B20" s="98" t="inlineStr">
        <is>
          <t>第一年度2</t>
        </is>
      </c>
      <c r="C20" s="98" t="inlineStr">
        <is>
          <t>员工江杰现申请2天年假，日期2025.7.15和7.16，剩于剩余5-2=0</t>
        </is>
      </c>
      <c r="D20" s="98">
        <f>_xlfn.DISPIMG("ID_24A7C44DEAF042CD981992652D25B898",1)</f>
        <v/>
      </c>
    </row>
    <row r="21" s="558">
      <c r="A21" s="98" t="inlineStr">
        <is>
          <t>吴学艺-2024/2/19入职</t>
        </is>
      </c>
      <c r="B21" s="98" t="inlineStr">
        <is>
          <t>15天陪产假</t>
        </is>
      </c>
      <c r="C21" s="100" t="inlineStr">
        <is>
          <t>员工吴学艺 【智能驾驶系统产品线-系统硬件部-硬件工程-车辆改装 -
北京海淀区-智能驾驶整车改装工程师】
 现申请15天陪产假（开始时间2025年8月4日-结束时间2025年8月18日）</t>
        </is>
      </c>
    </row>
    <row r="22" s="558">
      <c r="A22" s="98" t="inlineStr">
        <is>
          <t>权怀振-2024/7/15入职</t>
        </is>
      </c>
      <c r="B22" s="98" t="inlineStr">
        <is>
          <t>第一年度4</t>
        </is>
      </c>
      <c r="C22" s="98" t="inlineStr">
        <is>
          <t>权怀振申请年假4天剩余1天，请年假4天：2025,.7.28-7.31</t>
        </is>
      </c>
    </row>
    <row r="23" s="558">
      <c r="A23" s="98" t="inlineStr">
        <is>
          <t>向凌波-2024/3/11入职</t>
        </is>
      </c>
      <c r="B23" s="100" t="inlineStr">
        <is>
          <t>第一年度1+第一年度4折现OK</t>
        </is>
      </c>
      <c r="C23" s="100" t="inlineStr">
        <is>
          <t>事假（年假）：2025年8.15日，已发文石邮件申请-8月工资条中，这一天年假已按全勤发给他
剩余的4天：向凌波年假折算的工资已打款了哈。合计折算4天，2025.9.9-9.12日，薪资折算是19000/21.75*4=3494.25，个税是349.43，实发3144.82元已打款</t>
        </is>
      </c>
      <c r="D23" s="98">
        <f>_xlfn.DISPIMG("ID_EB1712ACBF524AE682EEDD43AE6842C6",1)</f>
        <v/>
      </c>
      <c r="E23" s="98">
        <f>_xlfn.DISPIMG("ID_14F8F37AE5F040FDB1DA6CD60324414B",1)</f>
        <v/>
      </c>
    </row>
    <row r="24" customFormat="1" s="98">
      <c r="A24" s="98" t="inlineStr">
        <is>
          <t>边广飞-2024/8/12入职</t>
        </is>
      </c>
      <c r="B24" s="98" t="inlineStr">
        <is>
          <t>第一年度5</t>
        </is>
      </c>
      <c r="C24" s="98" t="inlineStr">
        <is>
          <t>员工边广飞，因为脚崴了，申请了5天年假，日期2025.9.15和9.19，剩于剩余5-5=0</t>
        </is>
      </c>
      <c r="D24" s="98">
        <f>_xlfn.DISPIMG("ID_FC9CE4CC0D234595A50F1F695B49E43A",1)</f>
        <v/>
      </c>
      <c r="E24" s="98">
        <f>_xlfn.DISPIMG("ID_E38188B8C14F47099AEF7C64A2E06D54",1)</f>
        <v/>
      </c>
      <c r="F24" s="98">
        <f>_xlfn.DISPIMG("ID_EAF80FE486534F158EDA17CEA7678F81",1)</f>
        <v/>
      </c>
      <c r="G24" s="98">
        <f>_xlfn.DISPIMG("ID_BBCC3A0B72D44AA2B8BEC9AC0546FAC0",1)</f>
        <v/>
      </c>
    </row>
    <row r="25" customFormat="1" s="98">
      <c r="A25" s="98" t="inlineStr">
        <is>
          <t>汪晓康-2024/5/8入职</t>
        </is>
      </c>
      <c r="B25" s="98" t="inlineStr">
        <is>
          <t>第一年度3</t>
        </is>
      </c>
      <c r="C25" s="98" t="inlineStr">
        <is>
          <t>员工汪晓康现申请3天年假，时间：2025年9月28日-9月30日，剩于5-3天</t>
        </is>
      </c>
      <c r="D25" s="98">
        <f>_xlfn.DISPIMG("ID_C84BEE9CA051438A969D5CE0DC84F91F",1)</f>
        <v/>
      </c>
    </row>
    <row r="26" customFormat="1" s="98">
      <c r="A26" s="98" t="inlineStr">
        <is>
          <t>仲秀秀-2024/9/11入职</t>
        </is>
      </c>
      <c r="B26" s="98" t="inlineStr">
        <is>
          <t>第一年度3</t>
        </is>
      </c>
      <c r="C26" s="98" t="inlineStr">
        <is>
          <t>员工仲秀秀现申请3天年假，时间：2025年9月28日-9月30日，剩于5-3天。</t>
        </is>
      </c>
      <c r="D26" s="98">
        <f>_xlfn.DISPIMG("ID_DBBBB45E8D3F47ED8ED14AD7084EA846",1)</f>
        <v/>
      </c>
    </row>
    <row r="27" customFormat="1" s="98">
      <c r="A27" s="98" t="inlineStr">
        <is>
          <t>孙存浩-2024/3/6入职</t>
        </is>
      </c>
      <c r="B27" s="98" t="inlineStr">
        <is>
          <t>第一年度1</t>
        </is>
      </c>
      <c r="C27" s="98" t="inlineStr">
        <is>
          <t>员工孙存浩现申请1天年假，请年假：9.17日，剩余2天？天数需要核对下？？？？</t>
        </is>
      </c>
      <c r="D27" s="98">
        <f>_xlfn.DISPIMG("ID_CF408CC166CC4A969F3FF7131EC07E7F",1)</f>
        <v/>
      </c>
    </row>
    <row r="28" customFormat="1" s="98">
      <c r="A28" s="98" t="inlineStr">
        <is>
          <t>权怀振-2024/7/15入职</t>
        </is>
      </c>
      <c r="B28" s="98" t="inlineStr">
        <is>
          <t>15天婚假</t>
        </is>
      </c>
      <c r="C28" s="98" t="inlineStr">
        <is>
          <t>姓名：权怀振  重庆  底软FAE      申请婚假  15天   2025年10月9号-10月23号</t>
        </is>
      </c>
      <c r="D28" s="98">
        <f>_xlfn.DISPIMG("ID_2E94EBEBFE1F4A1EACE99A707EAAA350",1)</f>
        <v/>
      </c>
    </row>
    <row r="29" customFormat="1" s="98">
      <c r="A29" s="98" t="inlineStr">
        <is>
          <t>黄国庆-2025/1/22入职</t>
        </is>
      </c>
      <c r="B29" s="98" t="inlineStr">
        <is>
          <t>10天婚假</t>
        </is>
      </c>
      <c r="C29" s="98" t="inlineStr">
        <is>
          <t>黄国庆-北京-集成测试工程师，休婚假具体时间：10月9日-10月21日，共10个工作日</t>
        </is>
      </c>
      <c r="D29" s="98">
        <f>_xlfn.DISPIMG("ID_D69E623C762C4DBF912ECF343788D76E",1)</f>
        <v/>
      </c>
    </row>
    <row r="30" customFormat="1" s="98">
      <c r="A30" s="98" t="inlineStr">
        <is>
          <t>周浩-2024/1/22入职</t>
        </is>
      </c>
      <c r="B30" s="98" t="inlineStr">
        <is>
          <t>第一年度过期1-算第二年度</t>
        </is>
      </c>
      <c r="C30" s="98" t="inlineStr">
        <is>
          <t>2025年10月21日事假一天（文石算年假吧，记得补下流程，还没补）</t>
        </is>
      </c>
    </row>
    <row r="31" customFormat="1" s="98">
      <c r="A31" s="98" t="inlineStr">
        <is>
          <t>仲伟巍-2024/10/16入职</t>
        </is>
      </c>
      <c r="B31" s="98" t="inlineStr">
        <is>
          <t>第一年度1</t>
        </is>
      </c>
      <c r="C31" s="98" t="inlineStr">
        <is>
          <t>考勤正常，地平线是：2025年10.14日事假，文石算年假</t>
        </is>
      </c>
      <c r="D31" s="98">
        <f>_xlfn.DISPIMG("ID_8AE66389F2CE419D8845AA01E23DF333",1)</f>
        <v/>
      </c>
    </row>
    <row r="32" customFormat="1" s="98">
      <c r="A32" s="98" t="inlineStr">
        <is>
          <t>刘梦焕-2024/4/22入职</t>
        </is>
      </c>
      <c r="B32" s="98" t="inlineStr">
        <is>
          <t>第二年度1.5</t>
        </is>
      </c>
      <c r="C32" s="98" t="inlineStr">
        <is>
          <t>年假（事假）1.5天：2025.9.30日和10.23下午半天---------2025年12月7日已补发邮箱</t>
        </is>
      </c>
      <c r="E32" s="98">
        <f>_xlfn.DISPIMG("ID_935AB5745E4642F59B440D009A2474C4",1)</f>
        <v/>
      </c>
      <c r="F32" s="98">
        <f>_xlfn.DISPIMG("ID_EC60CC51235A4600A91E2F81449E4F30",1)</f>
        <v/>
      </c>
    </row>
    <row r="33" customFormat="1" s="98">
      <c r="A33" s="98" t="inlineStr">
        <is>
          <t>周浩-2024/1/22入职</t>
        </is>
      </c>
      <c r="B33" s="98" t="inlineStr">
        <is>
          <t>第一年度过期2-算第二年度</t>
        </is>
      </c>
      <c r="C33" s="98" t="inlineStr">
        <is>
          <t>周浩现申请2天年假，时间：2025年11月3日/11月13日。口头和领导（孙美微）请假，领导同意</t>
        </is>
      </c>
    </row>
    <row r="34" customFormat="1" s="98">
      <c r="A34" s="98" t="inlineStr">
        <is>
          <t>仲秀秀-2024/9/11入职</t>
        </is>
      </c>
      <c r="B34" s="98" t="inlineStr">
        <is>
          <t>第一年度2</t>
        </is>
      </c>
      <c r="C34" s="98" t="inlineStr">
        <is>
          <t>员工仲秀秀现申请2天年假，时间：2025年11月27日下午0.5天，11月28日1天，和12月1日上午0.5天，合计年假2天，剩于2-2天。</t>
        </is>
      </c>
      <c r="D34" s="98">
        <f>_xlfn.DISPIMG("ID_15B816BE96E64C02A9B21B36A3A0DBFA",1)</f>
        <v/>
      </c>
    </row>
    <row r="35" customFormat="1" s="98">
      <c r="A35" s="98" t="inlineStr">
        <is>
          <t>毛楠-2024/10/24入职</t>
        </is>
      </c>
      <c r="B35" s="98" t="inlineStr">
        <is>
          <t>第一年度1</t>
        </is>
      </c>
      <c r="C35" s="100" t="inlineStr">
        <is>
          <t>员工毛楠现申请一天年假，时间：2025年11月17日-11月17日，剩余(5-1)天</t>
        </is>
      </c>
      <c r="D35" s="98">
        <f>_xlfn.DISPIMG("ID_D796B468292C45B1834D78DE1D4975A6",1)</f>
        <v/>
      </c>
    </row>
    <row r="36" customFormat="1" s="98">
      <c r="A36" s="98" t="inlineStr">
        <is>
          <t>魏晨旭-2024/8/26入职</t>
        </is>
      </c>
      <c r="B36" s="98" t="inlineStr">
        <is>
          <t>第一年度延长</t>
        </is>
      </c>
      <c r="C36" s="100" t="inlineStr">
        <is>
          <t>员工魏晨旭-北京-AI芯片系统软件开发工程师-2024/8/26入职 ；按照公司规则入职满一年释放5天年假，有效期15个月内；现因年假已于2025年11月27日年假过期，且因最近工作较多，无法集中使用过期年假，特发此邮件申请年假延长3个月使用期（至2026年2月27日），并承诺：“绝不泄露此事，否则自愿接受公司收回年假相关处罚”，望特批！</t>
        </is>
      </c>
      <c r="D36" s="98">
        <f>_xlfn.DISPIMG("ID_AAAB5D8E99D04DF5AC1DD15A32A10A37",1)</f>
        <v/>
      </c>
    </row>
    <row r="37" customFormat="1" s="98">
      <c r="A37" s="98" t="inlineStr">
        <is>
          <t>秦亚杰-TS负责WS不管</t>
        </is>
      </c>
      <c r="B37" s="98" t="inlineStr">
        <is>
          <t>TS的5</t>
        </is>
      </c>
      <c r="C37" s="100" t="inlineStr">
        <is>
          <t>您好领导：2025年12月1号，到12月5号。请年假共计5天。请悉知</t>
        </is>
      </c>
      <c r="D37" s="98">
        <f>_xlfn.DISPIMG("ID_16C9B65851AF4E9CA2563DDA946D6750",1)</f>
        <v/>
      </c>
    </row>
    <row r="38" customFormat="1" s="98">
      <c r="A38" s="98" t="inlineStr">
        <is>
          <t>魏晨旭-2024/8/26入职</t>
        </is>
      </c>
      <c r="B38" s="98" t="inlineStr">
        <is>
          <t>第一年度1</t>
        </is>
      </c>
      <c r="C38" s="98" t="inlineStr">
        <is>
          <t>员工魏晨旭现申请1天年假时间：11月14日，剩余5-1天</t>
        </is>
      </c>
      <c r="D38" s="98">
        <f>_xlfn.DISPIMG("ID_0A0A74EC2A73472EAF627B9B19C7D704",1)</f>
        <v/>
      </c>
    </row>
    <row r="39" customFormat="1" s="98">
      <c r="A39" s="98" t="inlineStr">
        <is>
          <t>刘梦焕-2024/4/22入职</t>
        </is>
      </c>
      <c r="B39" s="98" t="inlineStr">
        <is>
          <t>第二年度0.5</t>
        </is>
      </c>
      <c r="C39" s="98" t="inlineStr">
        <is>
          <t>刘梦焕现申请2025. 11.26日年假0.5天，剩余3-2 =1 天？多少天？</t>
        </is>
      </c>
      <c r="D39" s="98">
        <f>_xlfn.DISPIMG("ID_E9FE107240B94B4FA5E86C52A0A0F8F9",1)</f>
        <v/>
      </c>
    </row>
    <row r="40" customFormat="1" s="98">
      <c r="A40" s="98" t="inlineStr">
        <is>
          <t>秦亚杰-TS负责WS不管</t>
        </is>
      </c>
      <c r="B40" s="98" t="inlineStr">
        <is>
          <t>TS的4</t>
        </is>
      </c>
      <c r="C40" s="98" t="inlineStr">
        <is>
          <t>领导好，我2025年15到18号休息,请年假。请悉知。</t>
        </is>
      </c>
      <c r="D40" s="98">
        <f>_xlfn.DISPIMG("ID_1AEFC07ECA734704B27E2B40D3BA1278",1)</f>
        <v/>
      </c>
    </row>
    <row r="41" customFormat="1" s="98">
      <c r="A41" s="98" t="inlineStr">
        <is>
          <t>傅鹤雨-2024/4/15入职</t>
        </is>
      </c>
      <c r="B41" s="98" t="inlineStr">
        <is>
          <t>第二年度1</t>
        </is>
      </c>
      <c r="C41" s="98" t="inlineStr">
        <is>
          <t>员工傅鹤雨现申请第二年度一天年假，日期是：2025年12月18日</t>
        </is>
      </c>
      <c r="D41" s="98">
        <f>_xlfn.DISPIMG("ID_E905DA9231D641658F5CFBC44AD01F5E",1)</f>
        <v/>
      </c>
      <c r="E41" s="98">
        <f>_xlfn.DISPIMG("ID_F89705F100C94F5B86FC5935CDDED008",1)</f>
        <v/>
      </c>
    </row>
    <row r="42" customFormat="1" s="98">
      <c r="A42" s="98" t="inlineStr">
        <is>
          <t>毛楠-2024/10/24入职</t>
        </is>
      </c>
      <c r="B42" s="98" t="inlineStr">
        <is>
          <t>第一年度2</t>
        </is>
      </c>
      <c r="C42" s="100" t="inlineStr">
        <is>
          <t>员工毛楠现申请两天年假，时间：2025年12月1日和12月12日，共两天， 剩余(4-2)天</t>
        </is>
      </c>
      <c r="D42" s="98">
        <f>_xlfn.DISPIMG("ID_E6F0A42CADC74C22B446CF0B4AAFF289",1)</f>
        <v/>
      </c>
      <c r="E42" s="98">
        <f>_xlfn.DISPIMG("ID_0164EC29366049488CE997C742ABA04C",1)</f>
        <v/>
      </c>
      <c r="F42" s="98">
        <f>_xlfn.DISPIMG("ID_17F48F1DE85A479082AEEDF94F86D8E6",1)</f>
        <v/>
      </c>
    </row>
    <row r="43" customFormat="1" s="98">
      <c r="A43" s="98" t="inlineStr">
        <is>
          <t>刘建鹤2024/4/8入职</t>
        </is>
      </c>
      <c r="B43" s="100" t="inlineStr">
        <is>
          <t>第一年度最终恢复3天均折现-第一年度剩余0-----OK</t>
        </is>
      </c>
      <c r="C43" s="100" t="inlineStr">
        <is>
          <t>刘建鹤申请2025年第一年底最终恢复年假 3天  都1:1折现完毕。刘建鹤-北京文石-有一笔年假折算款 金额是3310.34，2026.1.6日已发放，2026年1月财务记得合并工资报税</t>
        </is>
      </c>
      <c r="D43" s="98">
        <f>_xlfn.DISPIMG("ID_30785C9107E345ADB35BB06AAFCF998E",1)</f>
        <v/>
      </c>
    </row>
    <row r="44" customFormat="1" s="98">
      <c r="A44" s="98" t="inlineStr">
        <is>
          <t>汪晓康-2024/5/8入职</t>
        </is>
      </c>
      <c r="B44" s="100" t="inlineStr">
        <is>
          <t>第一年度2折现</t>
        </is>
      </c>
      <c r="C44" s="100" t="inlineStr">
        <is>
          <t>汪晓康：尊敬的领导：我在2024年度有5天年假，其中已经休了3天年假，剩余的2天年假我申请1:1折现！
本人将严格保密，不向他人传播。 请求批准。
汪晓康有一笔年假折算款 金额是1563.22，2026.1.6日已发放，2026年1月财务记得合并工资报税</t>
        </is>
      </c>
      <c r="D44" s="98">
        <f>_xlfn.DISPIMG("ID_77C1D5B616C240E48E24D861F8BBF80B",1)</f>
        <v/>
      </c>
    </row>
    <row r="45" customFormat="1" s="98">
      <c r="A45" s="98" t="inlineStr">
        <is>
          <t>冉松林-2024/6/19入职</t>
        </is>
      </c>
      <c r="B45" s="98" t="inlineStr">
        <is>
          <t>第一年度延长</t>
        </is>
      </c>
      <c r="C45" s="100" t="inlineStr">
        <is>
          <t>员工-冉松林-重庆-功能FAE工程师-2024/6/19入职按照公司规则，入职一年后释放5天年假，有效期15个月，现因年假在2025/9/20已过期5天，申请延长过期5天年假使用期，本人在此承诺"绝不泄露此事，否则自愿接受公司收回年假处罚"，望特批！
同意本次年假延长使用申请，可延至：2026年6年30日之前</t>
        </is>
      </c>
      <c r="D45" s="98">
        <f>_xlfn.DISPIMG("ID_FBB70636F82D4D3FAD427630BD19A814",1)</f>
        <v/>
      </c>
    </row>
    <row r="46" customFormat="1" s="98">
      <c r="A46" s="98" t="inlineStr">
        <is>
          <t>窦振伟-2024/2/21入职</t>
        </is>
      </c>
      <c r="B46" s="98" t="inlineStr">
        <is>
          <t>第一年度3</t>
        </is>
      </c>
      <c r="C46" s="101" t="inlineStr">
        <is>
          <t>员工 窦振伟现申请2025年度3天年假；时间为1.14-1.16日合计3天</t>
        </is>
      </c>
      <c r="D46" s="33">
        <f>_xlfn.DISPIMG("ID_2633B24644E44681BBB81B419C39AE1A",1)</f>
        <v/>
      </c>
      <c r="E46" s="98">
        <f>_xlfn.DISPIMG("ID_6C300F3AA9164FB4893FBDBB2BB41224",1)</f>
        <v/>
      </c>
    </row>
    <row r="47" customFormat="1" s="98">
      <c r="A47" s="98" t="inlineStr">
        <is>
          <t>毛楠-2024/10/24入职</t>
        </is>
      </c>
      <c r="B47" s="98" t="inlineStr">
        <is>
          <t>第一年度1</t>
        </is>
      </c>
      <c r="C47" s="100" t="inlineStr">
        <is>
          <t>员工毛楠现申请一天年假，    时间：2026年1月4日      剩余(2-1)天</t>
        </is>
      </c>
      <c r="D47" s="98">
        <f>_xlfn.DISPIMG("ID_A0D814F6A48B4EEC91370DDCAF7621C8",1)</f>
        <v/>
      </c>
      <c r="E47" s="98">
        <f>_xlfn.DISPIMG("ID_BB7C9BC9551B402881BE61A5DD4D3BB3",1)</f>
        <v/>
      </c>
    </row>
    <row r="48" customFormat="1" s="98">
      <c r="A48" s="98" t="inlineStr">
        <is>
          <t>傅鹤雨-2024/4/15入职</t>
        </is>
      </c>
      <c r="B48" s="98" t="inlineStr">
        <is>
          <t>第二年度1</t>
        </is>
      </c>
      <c r="C48" s="100" t="inlineStr">
        <is>
          <t>员工傅鹤雨现申请第二年度一天年假，员工傅鹤雨现申请1天年假，时间：1月14日-1月14日，请完后 剩余0天年假；</t>
        </is>
      </c>
      <c r="D48" s="98">
        <f>_xlfn.DISPIMG("ID_43F85336BD504CC0AE7E14F5AD02171B",1)</f>
        <v/>
      </c>
      <c r="E48" s="98">
        <f>_xlfn.DISPIMG("ID_7C27973CF68A4CFA832CE3C6E25262DD",1)</f>
        <v/>
      </c>
    </row>
    <row r="49" customFormat="1" s="98">
      <c r="A49" s="98" t="inlineStr">
        <is>
          <t>胡远征-2024/12/18入职-26年3月薪资需转</t>
        </is>
      </c>
      <c r="B49" s="98" t="inlineStr">
        <is>
          <t>第一年度5折现-已折现在26.3月工资条中</t>
        </is>
      </c>
      <c r="C49" s="100" t="inlineStr">
        <is>
          <t>胡远征-上海-汽车改装硬件工程师-2024年/12月/18日入职 ；按照公司规则入职满一年释放5天年假，有效期15个月内；现结余第×年度×天有效年假申请1:1折现，望批准！</t>
        </is>
      </c>
      <c r="D49" s="98">
        <f>_xlfn.DISPIMG("ID_289442F129504DDDAFA435D79DC847D8",1)</f>
        <v/>
      </c>
      <c r="E49" s="98">
        <f>_xlfn.DISPIMG("ID_40895F6B0A514968BC473D841471D457",1)</f>
        <v/>
      </c>
    </row>
    <row r="50" customFormat="1" s="98">
      <c r="A50" s="98" t="inlineStr">
        <is>
          <t>仲伟巍-2024/10/16入职-26年3月薪资需转</t>
        </is>
      </c>
      <c r="B50" s="98" t="inlineStr">
        <is>
          <t>第一年度4折现-已折现在26.3月工资条中</t>
        </is>
      </c>
      <c r="C50" s="100" t="inlineStr">
        <is>
          <t>员工 仲伟巍，地区 上海张江，车辆工程，2024/10/16入职；按照公司规则入职满一年释放5天年假，有效期15个月内，先结余第一年度4天有效年假申请1:1折现，望批准！</t>
        </is>
      </c>
      <c r="D50" s="98">
        <f>_xlfn.DISPIMG("ID_7611E582E3B0464FB19C2C84368471B3",1)</f>
        <v/>
      </c>
    </row>
    <row r="51" customFormat="1" s="98">
      <c r="A51" s="98" t="inlineStr">
        <is>
          <t>孙存浩-2024/3/6入职</t>
        </is>
      </c>
      <c r="B51" s="98" t="inlineStr">
        <is>
          <t>15天陪产假</t>
        </is>
      </c>
      <c r="C51" s="98" t="inlineStr">
        <is>
          <t>员工孙存浩 【文石-南京-前端开发】现申请15天陪产假（2026.01.15-2026.01.29）</t>
        </is>
      </c>
      <c r="D51" s="98">
        <f>_xlfn.DISPIMG("ID_D382A99304134636A3CAD4ADA6F614E0",1)</f>
        <v/>
      </c>
    </row>
    <row r="52" customFormat="1" s="98">
      <c r="A52" s="98" t="inlineStr">
        <is>
          <t>邵明孝-2024/12/18入职 -26年3月薪资需转</t>
        </is>
      </c>
      <c r="B52" s="98" t="inlineStr">
        <is>
          <t>第一年度5折现-已折现在26.3月工资条中</t>
        </is>
      </c>
      <c r="C52" s="100" t="inlineStr">
        <is>
          <t>邵明孝-上海-智能驾驶改装工程师-2024年/12月/18日入职 ；按照公司规则入职满一年释放5天年假，有效期15个月内；现结余第1年度5天有效年假申请1:1折现，望批准！HR查询截图如下：</t>
        </is>
      </c>
      <c r="D52" s="98">
        <f>_xlfn.DISPIMG("ID_B0FA3F0FB4DE41B69E424863534825BF",1)</f>
        <v/>
      </c>
      <c r="E52" s="98">
        <f>_xlfn.DISPIMG("ID_2C149640B8514C7D9E382826723CB815",1)</f>
        <v/>
      </c>
    </row>
    <row r="53" customFormat="1" s="98">
      <c r="A53" s="98" t="inlineStr">
        <is>
          <t>史勇奇-2025/1/6入职 -26年3月薪资需转</t>
        </is>
      </c>
      <c r="B53" s="98" t="inlineStr">
        <is>
          <t>第一年度5折现-已折现在26.3月工资条中</t>
        </is>
      </c>
      <c r="C53" s="100" t="inlineStr">
        <is>
          <t>史勇奇-上海-硬件改装工程师-2025年/1月/6日入职 ；按照公司规则入职满一年释放5天年假，有效期15个月内；现结余第1年度5天有效年假申请1:1折现，望批准！</t>
        </is>
      </c>
      <c r="D53" s="98">
        <f>_xlfn.DISPIMG("ID_A71AF7FD26E24F688C6C2AAE7573E20E",1)</f>
        <v/>
      </c>
    </row>
    <row r="54" customFormat="1" s="98">
      <c r="A54" s="98" t="inlineStr">
        <is>
          <t>冉松林-2024/6/19入职</t>
        </is>
      </c>
      <c r="B54" s="98" t="inlineStr">
        <is>
          <t>第一度年假5，第二年度年假2</t>
        </is>
      </c>
      <c r="C54" s="100" t="inlineStr">
        <is>
          <t>员工冉松林，现申请第一度年假5天，第二年度年假2天；共7天。具体为：2026.2.4-2.6日三天，2026.2.9-2.12日四天，合计7天</t>
        </is>
      </c>
      <c r="D54" s="98">
        <f>_xlfn.DISPIMG("ID_DCF55C58FD724177B2C69D2765B664B0",1)</f>
        <v/>
      </c>
      <c r="E54" s="98">
        <f>_xlfn.DISPIMG("ID_F5FD42CFB23A42FFB19C8D58B9D6640C",1)</f>
        <v/>
      </c>
    </row>
    <row r="55" customFormat="1" s="98">
      <c r="A55" s="98" t="inlineStr">
        <is>
          <t>向凌波-2024/3/11入职-26年3月薪资需转</t>
        </is>
      </c>
      <c r="B55" s="98" t="inlineStr">
        <is>
          <t>第二年度4折现-已折现在26.3月工资条中</t>
        </is>
      </c>
      <c r="C55" s="100" t="inlineStr">
        <is>
          <t>员工向凌波-上海-测试开发工程师-2024年/3月/11日入职 ；按照公司规则入职满一年释放5天年假，有效期15个月内；现结余第2年度4天有效年假申请1:1折现，望批准！</t>
        </is>
      </c>
      <c r="D55" s="98">
        <f>_xlfn.DISPIMG("ID_AF826BD078B34D408D465DC342C33D69",1)</f>
        <v/>
      </c>
      <c r="E55" s="98">
        <f>_xlfn.DISPIMG("ID_DF0828E0EE264A16BAAAED4009E5F2E7",1)</f>
        <v/>
      </c>
    </row>
    <row r="56" customFormat="1" s="98">
      <c r="A56" s="98" t="inlineStr">
        <is>
          <t>郭刚-2024/12/2入职 -26年3月薪资需转</t>
        </is>
      </c>
      <c r="B56" s="98" t="inlineStr">
        <is>
          <t>第一年度5折现-已折现在26.3月工资条中</t>
        </is>
      </c>
      <c r="C56" s="100" t="inlineStr">
        <is>
          <t>员工郭刚-北京-（改装）工程师-2024年/12月/2日入职 ；按照公司规则入职满一年释放5天年假，有效期15个月内；现结余第25年度5天有效年假申请1:1折现，望批准！</t>
        </is>
      </c>
      <c r="D56" s="98">
        <f>_xlfn.DISPIMG("ID_1A092DA6FF994093804AAC0963D4AAA9",1)</f>
        <v/>
      </c>
      <c r="E56" s="98">
        <f>_xlfn.DISPIMG("ID_846F5BC1AD5F4575B78E6CB76EA1E7C5",1)</f>
        <v/>
      </c>
    </row>
    <row r="57" customFormat="1" s="98">
      <c r="A57" s="98" t="inlineStr">
        <is>
          <t>韩乐-2024/12/2入职</t>
        </is>
      </c>
      <c r="B57" s="98" t="inlineStr">
        <is>
          <t>第一年度5</t>
        </is>
      </c>
      <c r="C57" s="98" t="inlineStr">
        <is>
          <t>韩乐现申请5天年假，时间：2026年2月9号-2026年2月13号，年假剩于0天</t>
        </is>
      </c>
      <c r="D57" s="98">
        <f>_xlfn.DISPIMG("ID_7B2760E09653449A94043161C07FDE7C",1)</f>
        <v/>
      </c>
    </row>
    <row r="58" customFormat="1" s="98">
      <c r="A58" s="98" t="inlineStr">
        <is>
          <t>余盛波-2024/12/23入职-26年3月薪资需转</t>
        </is>
      </c>
      <c r="B58" s="98" t="inlineStr">
        <is>
          <t>第一年度5折现-已折现在26.3月工资条中</t>
        </is>
      </c>
      <c r="C58" s="100" t="inlineStr">
        <is>
          <t>员工：余盛波  ，地区：上海张江基地，岗位：工程师-2024年/12月/23日入职 ；，现结余第1年度5天有效年假申请1:1折现，望批准！</t>
        </is>
      </c>
      <c r="D58" s="98">
        <f>_xlfn.DISPIMG("ID_6A2EC8733200466F952D77B0DD8C4F80",1)</f>
        <v/>
      </c>
      <c r="E58" s="98">
        <f>_xlfn.DISPIMG("ID_C570945EDAAC4982B08DEA8C2DFF6AFA",1)</f>
        <v/>
      </c>
    </row>
    <row r="59" customFormat="1" s="98">
      <c r="A59" s="98" t="inlineStr">
        <is>
          <t>宁梦雷-2024/5/22入职</t>
        </is>
      </c>
      <c r="B59" s="98" t="inlineStr">
        <is>
          <t xml:space="preserve">第二年度3 </t>
        </is>
      </c>
      <c r="C59" s="98" t="inlineStr">
        <is>
          <t>员工宁梦雷现申请第二年度 3 天年假。他2024/5/22入职的，是2026.2.12 13 14日这三天</t>
        </is>
      </c>
      <c r="D59" s="98">
        <f>_xlfn.DISPIMG("ID_D1DD38609E60422DA8538866E7102842",1)</f>
        <v/>
      </c>
      <c r="E59" s="98">
        <f>_xlfn.DISPIMG("ID_E239AC92C2974BF0BFF893387A4B4FE8",1)</f>
        <v/>
      </c>
    </row>
    <row r="60" customFormat="1" s="98">
      <c r="A60" s="98" t="inlineStr">
        <is>
          <t>袁剑-2024/11/25入职 -26年3月薪资需转</t>
        </is>
      </c>
      <c r="B60" s="98" t="inlineStr">
        <is>
          <t>第一年度5折现-已折现在26.3月工资条中</t>
        </is>
      </c>
      <c r="C60" s="100" t="inlineStr">
        <is>
          <t>员工袁剑-上海张江汽车基地-智能驾驶车辆改装工程师-2024/11/25入职 按照公司规则入职满一年释放5天年假，有效期15个月内；现结余第一年度5天有效年假申请1:1折现，望批准！</t>
        </is>
      </c>
      <c r="D60" s="98">
        <f>_xlfn.DISPIMG("ID_0D1FEC22079C49D5880E521CCA05CC5E",1)</f>
        <v/>
      </c>
      <c r="E60" s="98">
        <f>_xlfn.DISPIMG("ID_005A179051D243C7BB73A7BBCE4F5587",1)</f>
        <v/>
      </c>
    </row>
    <row r="61" customFormat="1" s="98">
      <c r="A61" s="98" t="inlineStr">
        <is>
          <t>黄继宝-2025/1/13入职</t>
        </is>
      </c>
      <c r="B61" s="98" t="inlineStr">
        <is>
          <t>第一年度5</t>
        </is>
      </c>
      <c r="C61" s="98" t="inlineStr">
        <is>
          <t>黄继宝 现申请年假5天，2026年2月12日-2月14日，2月24日-2月25日</t>
        </is>
      </c>
      <c r="D61" s="98">
        <f>_xlfn.DISPIMG("ID_67B4702881674D0EAD60B5C5DDB3DEE9",1)</f>
        <v/>
      </c>
    </row>
    <row r="62" customFormat="1" s="98">
      <c r="A62" s="98" t="inlineStr">
        <is>
          <t>冉宗敬-2024/12/30入职</t>
        </is>
      </c>
      <c r="B62" s="98" t="inlineStr">
        <is>
          <t>第一年度5</t>
        </is>
      </c>
      <c r="C62" s="98" t="inlineStr">
        <is>
          <t>备注姓名 员工冉宗敬现申请5天年假，时间：2026年2月24日-2月28日，剩于0天（以此类推）；已附上截图</t>
        </is>
      </c>
      <c r="D62" s="33">
        <f>_xlfn.DISPIMG("ID_9C6C0619B304494F9A15FE201744CE72",1)</f>
        <v/>
      </c>
      <c r="E62" s="98">
        <f>_xlfn.DISPIMG("ID_44A23154B5814FF3B55F435FE31F065E",1)</f>
        <v/>
      </c>
    </row>
    <row r="63" customFormat="1" s="98">
      <c r="A63" s="98" t="inlineStr">
        <is>
          <t>傅鹤雨-2024/4/15入职</t>
        </is>
      </c>
      <c r="B63" s="98" t="inlineStr">
        <is>
          <t>第二年度1.5</t>
        </is>
      </c>
      <c r="C63" s="100" t="inlineStr">
        <is>
          <t>员工傅鹤雨现申请1.5天年假，时间：2026年2月12日(下午)-2月13日，请完后 剩余0天年假；2月14日 请事假一天</t>
        </is>
      </c>
      <c r="D63" s="98">
        <f>_xlfn.DISPIMG("ID_9F4A3C2B45EB4FE1ABDE82F088EE771B",1)</f>
        <v/>
      </c>
    </row>
    <row r="64" customFormat="1" s="98">
      <c r="A64" s="98" t="inlineStr">
        <is>
          <t>马朝阳-2024/12/16入职</t>
        </is>
      </c>
      <c r="B64" s="98" t="inlineStr">
        <is>
          <t>第一年度5</t>
        </is>
      </c>
      <c r="C64" s="100" t="inlineStr">
        <is>
          <t>员工马朝阳，现申请5天年假，2026年2月12、13、14、24、25号，望批准</t>
        </is>
      </c>
      <c r="D64" s="98">
        <f>_xlfn.DISPIMG("ID_67AA0F38151941619054D106CAA6DA90",1)</f>
        <v/>
      </c>
      <c r="E64" s="98">
        <f>_xlfn.DISPIMG("ID_2EA09CBD1DB04B3E8CBDC8B0AF929B1F",1)</f>
        <v/>
      </c>
    </row>
    <row r="65" customFormat="1" s="98">
      <c r="A65" s="98" t="inlineStr">
        <is>
          <t>刘梦焕-2024/4/22入职</t>
        </is>
      </c>
      <c r="B65" s="98" t="inlineStr">
        <is>
          <t>第二年度1</t>
        </is>
      </c>
      <c r="C65" s="98" t="inlineStr">
        <is>
          <t>刘梦焕现申请 1天年假，时间：2026年2月12日。剩余3-2-1 =0天</t>
        </is>
      </c>
      <c r="D65" s="98">
        <f>_xlfn.DISPIMG("ID_F0959EE0B7394D279CD287D5964250C0",1)</f>
        <v/>
      </c>
      <c r="E65" s="98">
        <f>_xlfn.DISPIMG("ID_5FE19964C2F84DB89968CB76CACB4D59",1)</f>
        <v/>
      </c>
      <c r="F65" s="98">
        <f>_xlfn.DISPIMG("ID_399BA1F0FFBE46A7A8BF97B9FD315791",1)</f>
        <v/>
      </c>
    </row>
    <row r="66" customFormat="1" s="98">
      <c r="A66" s="98" t="inlineStr">
        <is>
          <t>朱昭宇-2024/12/23入职</t>
        </is>
      </c>
      <c r="B66" s="98" t="inlineStr">
        <is>
          <t>第一年度5</t>
        </is>
      </c>
      <c r="C66" s="98" t="inlineStr">
        <is>
          <t>朱昭宇休5天年假 2026.2.12日  13日  14日  和2月24日 25日</t>
        </is>
      </c>
      <c r="D66" s="98">
        <f>_xlfn.DISPIMG("ID_CF48C60F46D941B8BD6CB178368D6394",1)</f>
        <v/>
      </c>
      <c r="E66" s="98">
        <f>_xlfn.DISPIMG("ID_01ED8D4DBD7D4C60935B0211AB90B84A",1)</f>
        <v/>
      </c>
      <c r="F66" s="98">
        <f>_xlfn.DISPIMG("ID_75C85B78D525483BAC83A940EC45F4B0",1)</f>
        <v/>
      </c>
    </row>
    <row r="67" customFormat="1" s="98">
      <c r="A67" s="98" t="inlineStr">
        <is>
          <t>王超-2024/11/27入职-26年3月薪资需转</t>
        </is>
      </c>
      <c r="B67" s="98" t="inlineStr">
        <is>
          <t>第一年度5折现-已折现在26.3月工资条中</t>
        </is>
      </c>
      <c r="C67" s="100" t="inlineStr">
        <is>
          <t>王超-上海张江-智能驾驶标定工程师-2024/11/27入职；按照公司规则入职满一年释放5天年假，有效期15个月内；现结余第1年度5天有效年假申请1:1折现，望批准！</t>
        </is>
      </c>
      <c r="D67" s="98">
        <f>_xlfn.DISPIMG("ID_57CE89D791134787AFC0C6FD197734E9",1)</f>
        <v/>
      </c>
    </row>
    <row r="68" customFormat="1" s="98">
      <c r="A68" s="98" t="inlineStr">
        <is>
          <t>孙存浩-2024/3/6入职</t>
        </is>
      </c>
      <c r="B68" s="98" t="inlineStr">
        <is>
          <t>第二年度2</t>
        </is>
      </c>
      <c r="C68" s="98" t="inlineStr">
        <is>
          <t>员工孙存浩现申请2天年假，剩余0天，日期为：2026年2.23和2.14</t>
        </is>
      </c>
      <c r="D68" s="33">
        <f>_xlfn.DISPIMG("ID_CDF2F8AB32834336BF1D6DAC88A8324E",1)</f>
        <v/>
      </c>
      <c r="E68" s="98">
        <f>_xlfn.DISPIMG("ID_E571ABF6729A4262ACAC692353B41E37",1)</f>
        <v/>
      </c>
    </row>
    <row r="69" customFormat="1" s="98">
      <c r="A69" s="98" t="inlineStr">
        <is>
          <t>李友良-TS负责WS不管</t>
        </is>
      </c>
      <c r="B69" s="98" t="inlineStr">
        <is>
          <t>TS的2天</t>
        </is>
      </c>
      <c r="C69" s="100" t="inlineStr">
        <is>
          <t>您好领导： 请3天假，于2026.02.12-2026.02.14请3天假 用两天天年假，一天调休  02.12-02.13 年假，02.14 调休</t>
        </is>
      </c>
      <c r="D69" s="98">
        <f>_xlfn.DISPIMG("ID_A11E1238990B4AC0A4A6BAA89B851DC3",1)</f>
        <v/>
      </c>
    </row>
    <row r="70" customFormat="1" s="98">
      <c r="A70" s="98" t="inlineStr">
        <is>
          <t>徐祥-2024/11/18入职</t>
        </is>
      </c>
      <c r="B70" s="98" t="inlineStr">
        <is>
          <t>第一年度5</t>
        </is>
      </c>
      <c r="C70" s="98" t="inlineStr">
        <is>
          <t>员工：徐祥 现申请5天年假，时间：2026年2月9日--2月13日，剩余0天</t>
        </is>
      </c>
      <c r="D70" s="98">
        <f>_xlfn.DISPIMG("ID_1AC922EA52674F8B94115317C4ADDFE8",1)</f>
        <v/>
      </c>
      <c r="E70" s="98">
        <f>_xlfn.DISPIMG("ID_C70717F102AA44C18FCEA9F2F5651A1F",1)</f>
        <v/>
      </c>
    </row>
    <row r="71" customFormat="1" s="98">
      <c r="A71" s="98" t="inlineStr">
        <is>
          <t>毛楠-2024/10/24入职</t>
        </is>
      </c>
      <c r="B71" s="98" t="inlineStr">
        <is>
          <t>第二年度1</t>
        </is>
      </c>
      <c r="C71" s="98" t="inlineStr">
        <is>
          <t>员工毛楠现申请一天年假，时间：2026年2月14日剩余(5-1)天</t>
        </is>
      </c>
      <c r="D71" s="98">
        <f>_xlfn.DISPIMG("ID_AF722B6EFADA430EB1EC4909B9C93172",1)</f>
        <v/>
      </c>
      <c r="E71" s="98">
        <f>_xlfn.DISPIMG("ID_A17CA3C1AB97463CA3E08838324DDA8B",1)</f>
        <v/>
      </c>
    </row>
    <row r="72" customFormat="1" s="98">
      <c r="A72" s="98" t="inlineStr">
        <is>
          <t>魏晨旭-2024/8/26入职</t>
        </is>
      </c>
      <c r="B72" s="98" t="inlineStr">
        <is>
          <t>第一年度4</t>
        </is>
      </c>
      <c r="C72" s="98" t="inlineStr">
        <is>
          <t>员工魏晨旭现申请4天年假（2024/8/26 ～ 2025/8/27 年度年假），时间：2.5 2.6 2.9 2.10，剩余4-4天。本次请假已提前一个月通知领导，且已口头通过，后续需等领导返回后再正式在oa上审批通过。</t>
        </is>
      </c>
      <c r="D72" s="98">
        <f>_xlfn.DISPIMG("ID_CD8A06A7551E4C08BA5FE9611EA10DCC",1)</f>
        <v/>
      </c>
    </row>
    <row r="73" customFormat="1" s="98">
      <c r="A73" s="98" t="inlineStr">
        <is>
          <t>宋峰-2024/12/4入职</t>
        </is>
      </c>
      <c r="B73" s="98" t="inlineStr">
        <is>
          <t>第一年度3</t>
        </is>
      </c>
      <c r="C73" s="100" t="inlineStr">
        <is>
          <t>员工宋峰申请3天年假，时间：2026年2月14日，2026年2月24日-2026年2月25日，剩余2天</t>
        </is>
      </c>
      <c r="D73" s="98">
        <f>_xlfn.DISPIMG("ID_9A92091DABC4413883D1DB8F2CB4C084",1)</f>
        <v/>
      </c>
      <c r="E73" s="98">
        <f>_xlfn.DISPIMG("ID_1669B2B34F7B450BABAF00B49DBD94D8",1)</f>
        <v/>
      </c>
      <c r="F73" s="98">
        <f>_xlfn.DISPIMG("ID_CFDBF246D8B84E138CC53790A47EDC12",1)</f>
        <v/>
      </c>
    </row>
    <row r="74" customFormat="1" s="98">
      <c r="A74" s="98" t="inlineStr">
        <is>
          <t>胡鳌-2024/9/23入职</t>
        </is>
      </c>
      <c r="B74" s="98" t="inlineStr">
        <is>
          <t>婚假10天</t>
        </is>
      </c>
      <c r="C74" s="98" t="inlineStr">
        <is>
          <t>亲爱的领导，新年好，本人申请休婚假，辛苦审批，另外假期有几天呀？胡鳌—上海—地平线实车测试</t>
        </is>
      </c>
    </row>
    <row r="75" customFormat="1" s="98">
      <c r="A75" s="98" t="inlineStr">
        <is>
          <t>王哲-2024/12/16入职-26年3月薪资需转</t>
        </is>
      </c>
      <c r="B75" s="98" t="inlineStr">
        <is>
          <t>第一年度5折现-已折现在26.3月工资条中</t>
        </is>
      </c>
      <c r="C75" s="100" t="inlineStr">
        <is>
          <t>您好： 员工王哲，北京翠湖，智能驾驶系统硬件部车辆改装工程师-2024年12月16日入职 ，
按照公司规则入职满一年释放5天年假，有效期15个月内；现结余第1年度5天有效年假申请1:1折现，望批准！</t>
        </is>
      </c>
      <c r="D75" s="98">
        <f>_xlfn.DISPIMG("ID_B322D366D49A4D6F841609C294EFB2A5",1)</f>
        <v/>
      </c>
      <c r="E75" s="98">
        <f>_xlfn.DISPIMG("ID_60CE6518ABA04630B717B75134D04AAB",1)</f>
        <v/>
      </c>
    </row>
    <row r="76" customFormat="1" s="98">
      <c r="A76" s="98" t="inlineStr">
        <is>
          <t>崔淑擎-2025/2/26入职</t>
        </is>
      </c>
      <c r="B76" s="98" t="inlineStr">
        <is>
          <t>第一年度2折现</t>
        </is>
      </c>
      <c r="C76" s="98" t="inlineStr">
        <is>
          <t>员工崔淑擎现申请2天年假，时间:2026.02.27，这两天年假是离职时候申请的，1:1折现给她吧</t>
        </is>
      </c>
      <c r="D76" s="98">
        <f>_xlfn.DISPIMG("ID_A9D2776F13A04118A4CCFE75973FAF16",1)</f>
        <v/>
      </c>
    </row>
    <row r="77" customFormat="1" s="98">
      <c r="A77" s="98" t="inlineStr">
        <is>
          <t>孙颖硕-2025/1/8入职-26年3月薪资需转</t>
        </is>
      </c>
      <c r="B77" s="98" t="inlineStr">
        <is>
          <t>第一年度5折现-已折现在26.3月工资条中</t>
        </is>
      </c>
      <c r="C77" s="98" t="inlineStr">
        <is>
          <t>您好：员工孙颖硕，北京翠湖，智能驾驶系统硬件部车辆改装工程师-2025年1月8日入职；按照公司规则入职满一年释放5天年假，有效期15个月内，现结余第1年度5天有效年假申请1:1折现，望批准！</t>
        </is>
      </c>
      <c r="D77" s="98">
        <f>_xlfn.DISPIMG("ID_CDF86D8EC5434D189C59561783655AB5",1)</f>
        <v/>
      </c>
      <c r="E77" s="98">
        <f>_xlfn.DISPIMG("ID_1A5EE010AA7F46AE86610C3BD23D173C",1)</f>
        <v/>
      </c>
    </row>
    <row r="78" customFormat="1" s="98">
      <c r="A78" s="98" t="inlineStr">
        <is>
          <t>康宏菲-2024/10/30入职</t>
        </is>
      </c>
      <c r="B78" s="98" t="inlineStr">
        <is>
          <t>第一年度延期</t>
        </is>
      </c>
      <c r="C78" s="100" t="inlineStr">
        <is>
          <t>员工康宏菲-上海张江-实车测试工程师-2024/10/30入职 ；按照公司规则入职满一年释放5天年假，有效期15个月内；现因年假已于2026年1月31日年假过期，发此邮件特殊申请年假延长1个月使用期（至2026年3月28日），并承诺：“绝不泄露此事，否则自愿接受公司收回年假相关处罚”，望特批！</t>
        </is>
      </c>
    </row>
    <row r="79" customFormat="1" s="98">
      <c r="A79" s="98" t="inlineStr">
        <is>
          <t>王风雄-2024/2/26入职-26年3月薪资需转</t>
        </is>
      </c>
      <c r="B79" s="98" t="inlineStr">
        <is>
          <t>第二年度5折现-已折现在26.3月工资条中</t>
        </is>
      </c>
      <c r="C79" s="100" t="inlineStr">
        <is>
          <t xml:space="preserve">员工：王风雄-地区：北京翠湖科技园-（岗位）工程师-2024年/2月/26日入职 ；
按照公司规则入职满一年释放5天年假，有效期15个月内；现结余第2年度5天有效年假申请1:1折现，望批准！
</t>
        </is>
      </c>
      <c r="D79" s="98">
        <f>_xlfn.DISPIMG("ID_4DDD8DCD678D4EAFBE2D01F698E0110C",1)</f>
        <v/>
      </c>
      <c r="E79" s="98">
        <f>_xlfn.DISPIMG("ID_BD2F928CA41E4DBC93B31B677D916FE2",1)</f>
        <v/>
      </c>
    </row>
    <row r="80" customFormat="1" s="98">
      <c r="A80" s="98" t="inlineStr">
        <is>
          <t>黄国庆-2025/1/22入职-26年3月薪资需转</t>
        </is>
      </c>
      <c r="B80" s="98" t="inlineStr">
        <is>
          <t>第一年度5折现-已折现在26.3月工资条中</t>
        </is>
      </c>
      <c r="C80" s="100" t="inlineStr">
        <is>
          <t xml:space="preserve">黄国庆-北京-集成测试工程师-2025年/1月/22日入职;按照公司规则入职满一年释放5天年假，有效期15个月内；现结余第1年度5天有效年假申请1:1折现，附件为HR在2026/1/30日查询现具体可使用年假天数截图，望批准!
</t>
        </is>
      </c>
      <c r="D80" s="98">
        <f>_xlfn.DISPIMG("ID_17845B2C7B1D44BAAD990718333B6F38",1)</f>
        <v/>
      </c>
      <c r="E80" s="98">
        <f>_xlfn.DISPIMG("ID_4744B93F8423418DADB3D3015F019074",1)</f>
        <v/>
      </c>
    </row>
    <row r="81" customFormat="1" s="98">
      <c r="A81" s="98" t="inlineStr">
        <is>
          <t>康宏菲-2024/10/30入职-26年3月薪资需转</t>
        </is>
      </c>
      <c r="B81" s="98" t="inlineStr">
        <is>
          <t>第一年度5折现-已折现在26.3月工资条中</t>
        </is>
      </c>
      <c r="C81" s="100" t="inlineStr">
        <is>
          <t>员工康宏菲-地区-上海（岗位）工程师-2024年/10月/30日入职 ；按照公司规则入职满一年释放5天年假，有效期15个月内；现结余第1年度5天有效年假申请1:1折现，望批准！</t>
        </is>
      </c>
      <c r="D81" s="98">
        <f>_xlfn.DISPIMG("ID_5A4F60BD45094C18848474B337183E45",1)</f>
        <v/>
      </c>
    </row>
    <row r="82" customFormat="1" s="98">
      <c r="A82" s="98" t="inlineStr">
        <is>
          <t>徐海杰-2025/2/10入职</t>
        </is>
      </c>
      <c r="B82" s="98" t="inlineStr">
        <is>
          <t>第一年度1</t>
        </is>
      </c>
      <c r="C82" s="100" t="inlineStr">
        <is>
          <t>员工徐海杰现申请1天年假，时间：2026年3月13日-3月13日，剩于4天</t>
        </is>
      </c>
      <c r="D82" s="98">
        <f>_xlfn.DISPIMG("ID_BDE3F6919AE64D38A720FA09CD74B48D",1)</f>
        <v/>
      </c>
      <c r="E82" s="98">
        <f>_xlfn.DISPIMG("ID_B74C6389B8514663B4E44D46C5C7C763",1)</f>
        <v/>
      </c>
    </row>
    <row r="83" customFormat="1" s="98">
      <c r="A83" s="98" t="inlineStr">
        <is>
          <t>项坤-2024/12/30入职-26年3月薪资需转</t>
        </is>
      </c>
      <c r="B83" s="98" t="inlineStr">
        <is>
          <t>第一年度5折现-已折现在26.3月工资条中</t>
        </is>
      </c>
      <c r="C83" s="100" t="inlineStr">
        <is>
          <t xml:space="preserve">员工：项坤-上海-工程师 -2024年12月30号签订正式合同入职；按照公司规则入职满一年释放5天年假，有效期15个月内；现结余第一年度5天有效年假申请1:1折现，望批准
</t>
        </is>
      </c>
      <c r="D83" s="98">
        <f>_xlfn.DISPIMG("ID_74D30E84139B4AF7B29A2594BA377D51",1)</f>
        <v/>
      </c>
    </row>
    <row r="84" customFormat="1" s="98">
      <c r="A84" s="98" t="inlineStr">
        <is>
          <t>方强强-2024/3/18入职-26年3月薪资需转</t>
        </is>
      </c>
      <c r="B84" s="98" t="inlineStr">
        <is>
          <t>第二年度5折现-已折现在26.3月工资条中</t>
        </is>
      </c>
      <c r="C84" s="98" t="inlineStr">
        <is>
          <t>各位好：员工方强强-上海地区-标定工程师-2024年/3月/18日入职 ；按照公司规则入职满一年释放5天年假，有效期15个月内；现结余第二年度5天有效年假申请1:1折现，望批准！</t>
        </is>
      </c>
      <c r="D84" s="98">
        <f>_xlfn.DISPIMG("ID_BA3D433D527F488EBB250624476C77AB",1)</f>
        <v/>
      </c>
    </row>
    <row r="85" customFormat="1" s="98">
      <c r="A85" s="98" t="inlineStr">
        <is>
          <t>梁佳俊-2025/3/3入职</t>
        </is>
      </c>
      <c r="B85" s="98" t="inlineStr">
        <is>
          <t>第一年度1</t>
        </is>
      </c>
      <c r="C85" s="98" t="inlineStr">
        <is>
          <t>申请年假， 梁佳俊现申请1天年假，时间：2026年3月18日-3月18日，剩于4天</t>
        </is>
      </c>
      <c r="D85" s="98">
        <f>_xlfn.DISPIMG("ID_D9B7F7D320ED49D789E8DFBABE1AECD9",1)</f>
        <v/>
      </c>
      <c r="E85" s="98">
        <f>_xlfn.DISPIMG("ID_F3AC5347606147249B20D441158ADAC0",1)</f>
        <v/>
      </c>
    </row>
    <row r="86" s="558">
      <c r="A86" s="98" t="inlineStr">
        <is>
          <t>徐海杰-2025/2/10入职</t>
        </is>
      </c>
      <c r="B86" s="98" t="inlineStr">
        <is>
          <t>第一年度1</t>
        </is>
      </c>
      <c r="C86" s="100" t="inlineStr">
        <is>
          <t>员工徐海杰现申请1天年假，时间：3月18日-3月18日，剩于3天</t>
        </is>
      </c>
      <c r="D86" s="98">
        <f>_xlfn.DISPIMG("ID_B209E9853E5F4157BA15EC9863FC45B9",1)</f>
        <v/>
      </c>
      <c r="E86" s="17">
        <f>_xlfn.DISPIMG("ID_1505BA35BA4B4DED81400BF724D2A3B5",1)</f>
        <v/>
      </c>
    </row>
    <row r="87" customFormat="1" s="98">
      <c r="A87" s="98" t="inlineStr">
        <is>
          <t>窦振伟-2024/2/21入职</t>
        </is>
      </c>
      <c r="B87" s="98" t="inlineStr">
        <is>
          <t>第二年度2折现-26年4月工资条折-已折现在26.4月工资条中</t>
        </is>
      </c>
      <c r="C87" s="100" t="inlineStr">
        <is>
          <t>员工窦振伟-上海-智能驾驶改装工程师-2024年/2月/21日入职 ；按照公司规则入职满一年释放5天年假，有效期15个月内；现结余第2025年度2天有效年假申请1:1折现，望批准！附上HR查询现具体可使用年假天数相关截图</t>
        </is>
      </c>
      <c r="D87" s="98">
        <f>_xlfn.DISPIMG("ID_047B5F358A0742A1A1983A632B42D75F",1)</f>
        <v/>
      </c>
      <c r="E87" s="98">
        <f>_xlfn.DISPIMG("ID_4181580C4D1146DBBF7A1F8E69DBDBC6",1)</f>
        <v/>
      </c>
    </row>
    <row r="88" s="558">
      <c r="A88" s="98" t="inlineStr">
        <is>
          <t>张阳-2024/12/25入职</t>
        </is>
      </c>
      <c r="B88" s="98" t="inlineStr">
        <is>
          <t>第一年度5折现-26年4月工资条折-已折现在26.4月工资条中</t>
        </is>
      </c>
      <c r="C88" s="98" t="inlineStr">
        <is>
          <t>张阳-重庆-功能FAE-2024/12/25入职 ；按照公司规则入职满一年释放5天年假，有效期15个月内；现结余第1年度5天有效年假申请1:1折现，望批准</t>
        </is>
      </c>
      <c r="D88" s="17">
        <f>_xlfn.DISPIMG("ID_39A04C0A3CE747D5AC762353CA8C2BE1",1)</f>
        <v/>
      </c>
      <c r="E88" s="98">
        <f>_xlfn.DISPIMG("ID_459B8ADE2E994DBEA36E354C459796C8",1)</f>
        <v/>
      </c>
    </row>
    <row r="89" s="558">
      <c r="A89" s="98" t="inlineStr">
        <is>
          <t>傅鹤雨-2024/4/15入职</t>
        </is>
      </c>
      <c r="B89" s="98" t="inlineStr">
        <is>
          <t>第二年度0.5</t>
        </is>
      </c>
      <c r="C89" s="98" t="inlineStr">
        <is>
          <t>员工傅鹤雨现申请0.5天年假，时间：3月26日(下午)，请完后 剩余0.5天年假；</t>
        </is>
      </c>
    </row>
    <row r="90" s="558">
      <c r="A90" s="98" t="inlineStr">
        <is>
          <t>张阳-2024/12/25入职</t>
        </is>
      </c>
      <c r="B90" s="98" t="inlineStr">
        <is>
          <t>婚假？15天婚假？哪一天开始？</t>
        </is>
      </c>
      <c r="C90" s="98" t="inlineStr">
        <is>
          <t>张阳-重庆-功能FAE-婚假申请，Hello 以下为婚假申请：本人于2026年3月10日结婚，申请审批婚假流程，待领导审批后回复，感谢</t>
        </is>
      </c>
      <c r="D90" s="98">
        <f>_xlfn.DISPIMG("ID_C1B95E9B2D2347B586F9376D819A9217",1)</f>
        <v/>
      </c>
    </row>
    <row r="91" s="558">
      <c r="A91" s="98" t="inlineStr">
        <is>
          <t>田洪洋-2024/9/9短期开始入职</t>
        </is>
      </c>
      <c r="B91" s="98" t="inlineStr">
        <is>
          <t>第二年度2折现-26年4月工资条折-已折现在26.4月工资条中</t>
        </is>
      </c>
      <c r="C91" s="98" t="inlineStr">
        <is>
          <t>员工田洪洋-南京-测试工程师-2024年/9月/9日入职；按照公司规则入职满一年释放年假，有效期15个月内；现结余第二年度2天有效年假申请1：1折现，望批准！</t>
        </is>
      </c>
      <c r="D91" s="98">
        <f>_xlfn.DISPIMG("ID_AD9C9288A18544D99B10AD28A2E2C3E1",1)</f>
        <v/>
      </c>
    </row>
    <row r="92" s="558">
      <c r="A92" s="98" t="inlineStr">
        <is>
          <t>马威-2024/3/13入职</t>
        </is>
      </c>
      <c r="B92" s="98" t="inlineStr">
        <is>
          <t>第二年度1</t>
        </is>
      </c>
      <c r="C92" s="98" t="inlineStr">
        <is>
          <t>员工马威现申请第二年度一天年假(2026.03.27)，日期是(2026.03.27)</t>
        </is>
      </c>
      <c r="D92" s="98">
        <f>_xlfn.DISPIMG("ID_D69A62D960F34C669D274257CB31F7B7",1)</f>
        <v/>
      </c>
    </row>
    <row r="93" s="558">
      <c r="A93" s="98" t="inlineStr">
        <is>
          <t>陆俊杰-2024/1/31入职</t>
        </is>
      </c>
      <c r="B93" s="98" t="inlineStr">
        <is>
          <t>第一年度还是第二的4</t>
        </is>
      </c>
      <c r="C93" s="98" t="inlineStr">
        <is>
          <t>陆俊杰现申请4天年假，2026年2月24日-2月27日下午</t>
        </is>
      </c>
      <c r="D93" s="98">
        <f>_xlfn.DISPIMG("ID_68020FB298CF40468E467FD36BB21902",1)</f>
        <v/>
      </c>
    </row>
    <row r="94" s="558">
      <c r="A94" s="98" t="inlineStr">
        <is>
          <t>司继中-2025/2/24入职</t>
        </is>
      </c>
      <c r="B94" s="98" t="inlineStr">
        <is>
          <t>第一年度1</t>
        </is>
      </c>
      <c r="C94" s="100" t="inlineStr">
        <is>
          <t>员工司继中现申请1天年假，时间：2026.4月3日-4月3日，剩于5-1天；</t>
        </is>
      </c>
      <c r="D94" s="98">
        <f>_xlfn.DISPIMG("ID_565E3D5EAB6C4A4386D3CB06AB451E54",1)</f>
        <v/>
      </c>
      <c r="E94" s="98">
        <f>_xlfn.DISPIMG("ID_6745406A855F4EC7A2E4F1591DFEB9F2",1)</f>
        <v/>
      </c>
    </row>
    <row r="95" s="558">
      <c r="A95" s="98" t="inlineStr">
        <is>
          <t>张阳-2024/12/25入职</t>
        </is>
      </c>
      <c r="B95" s="98" t="inlineStr">
        <is>
          <t>婚假（重庆）15天-时间待定</t>
        </is>
      </c>
      <c r="C95" s="100" t="inlineStr">
        <is>
          <t xml:space="preserve">Hello 以下为婚假申请：本人于2026年3月10日结婚，申请审批婚假流程，待领导审批后回复，感谢
</t>
        </is>
      </c>
    </row>
    <row r="96" s="558">
      <c r="A96" s="98" t="inlineStr">
        <is>
          <t>郭刚-2024/12/2入职</t>
        </is>
      </c>
      <c r="B96" s="98" t="inlineStr">
        <is>
          <t>婚假（北京）10天-时间待定</t>
        </is>
      </c>
      <c r="C96" s="98" t="inlineStr">
        <is>
          <t>查询审批婚假</t>
        </is>
      </c>
    </row>
    <row r="97" s="558">
      <c r="A97" s="98" t="inlineStr">
        <is>
          <t>胡鳌-2024/9/23入职</t>
        </is>
      </c>
      <c r="B97" s="98" t="inlineStr">
        <is>
          <t>婚假（上海）-时间待定</t>
        </is>
      </c>
      <c r="C97" s="98" t="inlineStr">
        <is>
          <t>查询</t>
        </is>
      </c>
    </row>
    <row r="98" s="558">
      <c r="A98" s="98" t="inlineStr">
        <is>
          <t>梁佳俊-2025/3/3入职</t>
        </is>
      </c>
      <c r="B98" s="98" t="inlineStr">
        <is>
          <t>第一年度2</t>
        </is>
      </c>
      <c r="C98" s="98" t="inlineStr">
        <is>
          <t>申请年假， 梁佳俊现申请2天年假，时间：2026年4月2日-4月3日，剩于2天</t>
        </is>
      </c>
      <c r="D98" s="98">
        <f>_xlfn.DISPIMG("ID_FE100087D7F14A7FB82B79FC3416DE01",1)</f>
        <v/>
      </c>
      <c r="E98" s="98">
        <f>_xlfn.DISPIMG("ID_64CA317D8F964653B7B56F7A5EEB2218",1)</f>
        <v/>
      </c>
    </row>
    <row r="99" s="558">
      <c r="A99" s="100" t="inlineStr">
        <is>
          <t>刘四海-2025/3/26入职</t>
        </is>
      </c>
      <c r="B99" s="98" t="inlineStr">
        <is>
          <t>第一年度5折现-26年4月工资条折-已折现在26.4月工资条中</t>
        </is>
      </c>
      <c r="C99" s="100" t="inlineStr">
        <is>
          <t>员工刘四海，北京地区-（岗位）系统测试工程师-2025年/3月/26日入职 ；按照公司规则入职满一年释放5天年假，有效期15个月内；现结余第1年度5天有效年假申请1:1折现，望批准！</t>
        </is>
      </c>
      <c r="D99" s="98">
        <f>_xlfn.DISPIMG("ID_E5F26A2EB9EB4654A694ABC33666FBC7",1)</f>
        <v/>
      </c>
    </row>
    <row r="100" s="558">
      <c r="A100" s="98" t="inlineStr">
        <is>
          <t>乔瑞霞-2025/1/20入职</t>
        </is>
      </c>
      <c r="B100" s="98" t="inlineStr">
        <is>
          <t>第一年度1</t>
        </is>
      </c>
      <c r="C100" s="98" t="inlineStr">
        <is>
          <t>员工乔瑞霞现申请1天年假，时间：2026年4月7日-4月7日，目前剩余4天，望批准！</t>
        </is>
      </c>
      <c r="D100" s="98">
        <f>_xlfn.DISPIMG("ID_F02F070C91234591B4551AF01059021B",1)</f>
        <v/>
      </c>
      <c r="E100" s="98">
        <f>_xlfn.DISPIMG("ID_D54333CB831D44E6BFDE3C63B45E588D",1)</f>
        <v/>
      </c>
    </row>
    <row r="101" s="558">
      <c r="A101" s="98" t="inlineStr">
        <is>
          <t>乔瑞霞-2025/1/20入职</t>
        </is>
      </c>
      <c r="B101" s="98" t="inlineStr">
        <is>
          <t>第一年度4折现-26年4月工资条折-已折现在26.4月工资条中</t>
        </is>
      </c>
      <c r="C101" s="98" t="inlineStr">
        <is>
          <t>员工：乔瑞霞，地区：北京IC，岗位：工程师，2025年1月20日入职；按照公司规则入职满一年释放5天年假，有效期15个月内；现结余2025年度4天有效年假申请折现，望批准！</t>
        </is>
      </c>
      <c r="D101" s="98">
        <f>_xlfn.DISPIMG("ID_7745C0C6878C4DFABB0CDE724D3A1DF7",1)</f>
        <v/>
      </c>
      <c r="E101" s="98">
        <f>_xlfn.DISPIMG("ID_D959F3898EED4850A54992F1CDA13820",1)</f>
        <v/>
      </c>
    </row>
    <row r="102" s="558">
      <c r="A102" s="98" t="inlineStr">
        <is>
          <t>魏正南-2024/1/22入职</t>
        </is>
      </c>
      <c r="B102" s="98" t="inlineStr">
        <is>
          <t>第二度年假5折现-26年4月工资条折-已折现在26.4月工资条中</t>
        </is>
      </c>
      <c r="C102" s="100" t="inlineStr">
        <is>
          <t>魏正南-北京-智能驾驶改装工程师，2024/1/22日入职;按照公司规则入职满一年释放5天年假，有效期15个月内;现结余2026年5天有效期年假申请1：1折现，望批准！</t>
        </is>
      </c>
      <c r="D102" s="98">
        <f>_xlfn.DISPIMG("ID_7CFB6E3427784F19812B13FEDDE6CA72",1)</f>
        <v/>
      </c>
    </row>
    <row r="103" s="558">
      <c r="A103" s="98" t="inlineStr">
        <is>
          <t>傅鹤雨-2024/4/15入职</t>
        </is>
      </c>
      <c r="B103" s="98" t="inlineStr">
        <is>
          <t>第二年度1</t>
        </is>
      </c>
      <c r="C103" s="98" t="inlineStr">
        <is>
          <t>员工傅鹤雨现申请1天年假，时间：2026年4月15日，请完后 剩余0天年假；</t>
        </is>
      </c>
      <c r="D103" s="98">
        <f>_xlfn.DISPIMG("ID_72FC4711D9E94A4C8199DB2AC7D258CF",1)</f>
        <v/>
      </c>
    </row>
    <row r="104" s="558">
      <c r="A104" s="98" t="inlineStr">
        <is>
          <t>刘建鹤2024/4/8入职</t>
        </is>
      </c>
      <c r="B104" s="98" t="inlineStr">
        <is>
          <t>第二年度2</t>
        </is>
      </c>
      <c r="C104" s="98" t="inlineStr">
        <is>
          <t>员工刘建鹤现申请第二年度2天年假，时间是2026.4.23和4.24</t>
        </is>
      </c>
      <c r="D104" s="98">
        <f>_xlfn.DISPIMG("ID_20010A2FAE31415A96A35D167A7E7FFE",1)</f>
        <v/>
      </c>
      <c r="E104" s="98">
        <f>_xlfn.DISPIMG("ID_9B183EB68BC943689E5A44E84692352D",1)</f>
        <v/>
      </c>
    </row>
    <row r="105" s="558">
      <c r="A105" s="98" t="inlineStr">
        <is>
          <t>仲秀秀-2024/9/11入职</t>
        </is>
      </c>
      <c r="B105" s="98" t="inlineStr">
        <is>
          <t>第二年度2.5</t>
        </is>
      </c>
      <c r="C105" s="98" t="inlineStr">
        <is>
          <t>员工仲秀秀现申请第二年度2.5天年假，日期4月27,4月28，和4月29日上午，4月30日也请假了为事假</t>
        </is>
      </c>
      <c r="D105" s="98">
        <f>_xlfn.DISPIMG("ID_337E80FC14434F5BA1C6AEBCA2EF40D1",1)</f>
        <v/>
      </c>
    </row>
    <row r="106" s="558">
      <c r="A106" s="98" t="inlineStr">
        <is>
          <t>徐海杰-2025/2/10入职</t>
        </is>
      </c>
      <c r="B106" s="98" t="inlineStr">
        <is>
          <t>第二年度1</t>
        </is>
      </c>
      <c r="C106" s="98" t="inlineStr">
        <is>
          <t>员工徐海杰现申请1天年假，时间：4月17日-4月17日，剩于2天</t>
        </is>
      </c>
      <c r="D106" s="98">
        <f>_xlfn.DISPIMG("ID_FE26618E853E4ABAA61CD79B1C4BF88D",1)</f>
        <v/>
      </c>
      <c r="E106" s="98">
        <f>_xlfn.DISPIMG("ID_D212C6E08A78433E8A53885452C3D813",1)</f>
        <v/>
      </c>
    </row>
    <row r="107" s="558">
      <c r="A107" s="98" t="inlineStr">
        <is>
          <t>刘郴-2024/3/11入职</t>
        </is>
      </c>
      <c r="B107" s="98" t="inlineStr">
        <is>
          <t>第二年度2</t>
        </is>
      </c>
      <c r="C107" s="98" t="inlineStr">
        <is>
          <t>刘郴2026. 4.9-4.10 休年假两天</t>
        </is>
      </c>
      <c r="D107" s="98">
        <f>_xlfn.DISPIMG("ID_81CCA178946B4C76A4563DF8DE59315A",1)</f>
        <v/>
      </c>
    </row>
    <row r="108" s="558">
      <c r="A108" s="98" t="inlineStr">
        <is>
          <t>陆俊杰-2024/1/31入职</t>
        </is>
      </c>
      <c r="B108" s="98" t="inlineStr">
        <is>
          <t>第二年度3天</t>
        </is>
      </c>
      <c r="C108" s="98" t="inlineStr">
        <is>
          <t>陆俊杰现申请3天年假，2026年的3月25和4月8日和4月22日，20260507将4月22日当天在地平线系统上改成调休了。，其实截止到2026.4.29日年假只能使用2天，还有1天在地平线系统改成调休</t>
        </is>
      </c>
      <c r="D108" s="98">
        <f>_xlfn.DISPIMG("ID_D6A13CE2E72A4FB6B1DB87F1FAC93FF7",1)</f>
        <v/>
      </c>
    </row>
    <row r="109" s="558">
      <c r="A109" s="98" t="inlineStr">
        <is>
          <t>马威-2024/3/13入职</t>
        </is>
      </c>
      <c r="B109" s="98" t="inlineStr">
        <is>
          <t>第二年度2</t>
        </is>
      </c>
      <c r="C109" s="98" t="inlineStr">
        <is>
          <t>员工马威现申请第二年度二天年假(2026.04.29-2026.04.30)</t>
        </is>
      </c>
      <c r="D109" s="98">
        <f>_xlfn.DISPIMG("ID_EABB3DADDD804DF5A9712FB0BCACCD84",1)</f>
        <v/>
      </c>
      <c r="E109" s="98">
        <f>_xlfn.DISPIMG("ID_912EFEC767AD4EF79241995E253F530E",1)</f>
        <v/>
      </c>
    </row>
    <row r="110" s="558">
      <c r="A110" s="98" t="inlineStr">
        <is>
          <t>万志斌-2025/4/14入职</t>
        </is>
      </c>
      <c r="B110" s="98" t="inlineStr">
        <is>
          <t>第一年度1</t>
        </is>
      </c>
      <c r="C110" s="102" t="inlineStr">
        <is>
          <t>员工万志斌现申请1天年假，时间：2026.4.30，剩余4天</t>
        </is>
      </c>
      <c r="D110" s="98">
        <f>_xlfn.DISPIMG("ID_B09031FF8F094EB4AFA78697E73B16F3",1)</f>
        <v/>
      </c>
      <c r="E110" s="98">
        <f>_xlfn.DISPIMG("ID_45C46C4A3DD24687B2121B1EF4F83256",1)</f>
        <v/>
      </c>
    </row>
    <row r="111" s="558">
      <c r="A111" s="98" t="inlineStr">
        <is>
          <t>刘郴-2024/3/11入职</t>
        </is>
      </c>
      <c r="B111" s="98" t="inlineStr">
        <is>
          <t>第二年度3</t>
        </is>
      </c>
      <c r="C111" s="98" t="inlineStr">
        <is>
          <t>刘郴 5.6~5.9休年假3天，实际是：刘郴 5.6~5.8合计休年假3天</t>
        </is>
      </c>
      <c r="D111" s="98">
        <f>_xlfn.DISPIMG("ID_8253B5DBA20046AD92120BB89AB124B8",1)</f>
        <v/>
      </c>
    </row>
    <row r="112" s="558">
      <c r="A112" s="98" t="inlineStr">
        <is>
          <t>郭刚-2024/12/2入职</t>
        </is>
      </c>
      <c r="B112" s="98" t="inlineStr">
        <is>
          <t>婚假（北京）10天</t>
        </is>
      </c>
      <c r="C112" s="98" t="inlineStr">
        <is>
          <t>郭刚-北京翠湖-改装工程师休婚假2026年5月6日至2025年5月15日</t>
        </is>
      </c>
      <c r="D112" s="98">
        <f>_xlfn.DISPIMG("ID_97B5F3A210654B98B216D65D184D49BE",1)</f>
        <v/>
      </c>
      <c r="E112" s="98">
        <f>_xlfn.DISPIMG("ID_A95008DAF1A943B68C3D59DC665C6A4D",1)</f>
        <v/>
      </c>
      <c r="F112" s="98">
        <f>_xlfn.DISPIMG("ID_1AD42516537747A4B8331A98EFBA26A0",1)</f>
        <v/>
      </c>
    </row>
    <row r="113" s="558">
      <c r="A113" s="98" t="inlineStr">
        <is>
          <t>苏志博-2025/2/17入职</t>
        </is>
      </c>
      <c r="B113" s="98" t="inlineStr">
        <is>
          <t>第一年度5折现-已折现在26.5月工资条中</t>
        </is>
      </c>
      <c r="C113" s="98" t="inlineStr">
        <is>
          <t>苏志博，所在部门为系统测试部 / 行车测试组，岗位为自动驾驶系统测试工程师（数据分析），于 2025 年 2 月 17 日入职，按照公司规则，我入职满一年已释放 5 天年假，有效期为入职后 15 个月（至 2026 年 5 月 18 日）。现结余第 1 年度【5】天有效年假，申请办理 1:1 折现，望予以批准。</t>
        </is>
      </c>
      <c r="D113" s="98">
        <f>_xlfn.DISPIMG("ID_F94901D5FB3144428390E005BCCC2715",1)</f>
        <v/>
      </c>
    </row>
    <row r="114" s="558">
      <c r="A114" s="98" t="inlineStr">
        <is>
          <t>孟鑫璐-2025/3/10入职</t>
        </is>
      </c>
      <c r="B114" s="98" t="inlineStr">
        <is>
          <t>第一年度5折现-已折现在26.5月工资条中</t>
        </is>
      </c>
      <c r="C114" s="98" t="inlineStr">
        <is>
          <t>孟鑫璐-北京-采集质检专员-2025/3/10入职；按照公司规则入职满一年释放5天年假，有效期15个月内；现结余第1年度5天有效年假申请1:1折现，望批准！</t>
        </is>
      </c>
      <c r="D114" s="98">
        <f>_xlfn.DISPIMG("ID_54A304E9C50647D5ABD49C2792E46EBE",1)</f>
        <v/>
      </c>
      <c r="E114" s="98">
        <f>_xlfn.DISPIMG("ID_9667CE8CC4114767939EEA071E30FDFD",1)</f>
        <v/>
      </c>
    </row>
    <row r="115" s="558">
      <c r="A115" s="98" t="inlineStr">
        <is>
          <t>司继中-2025/2/24入职</t>
        </is>
      </c>
      <c r="B115" s="98" t="inlineStr">
        <is>
          <t>第一年度4折现-已折现在26.5月工资条中</t>
        </is>
      </c>
      <c r="C115" s="100" t="inlineStr">
        <is>
          <t>司继中-北京IC-park-数据验收员-2025/2/24入职；按照公司规则入职满一年释放5天年假，有效期15个月内；现结余第一年度4天有效年假申请1:1折现，望批准！</t>
        </is>
      </c>
      <c r="D115" s="98">
        <f>_xlfn.DISPIMG("ID_DD27272EDFFE47FC8CC1F3B1A8A80DD3",1)</f>
        <v/>
      </c>
    </row>
    <row r="116" s="558">
      <c r="A116" s="98" t="inlineStr">
        <is>
          <t>孙存浩-2024/3/6入职</t>
        </is>
      </c>
      <c r="B116" s="98" t="inlineStr">
        <is>
          <t>第二年度2</t>
        </is>
      </c>
      <c r="C116" s="98" t="inlineStr">
        <is>
          <t>员工孙存浩现申请第2年度2天年假，为26年4月29日和4月30日</t>
        </is>
      </c>
      <c r="D116" s="98">
        <f>_xlfn.DISPIMG("ID_62654AF71C394CE380E639E6E9ED1FB4",1)</f>
        <v/>
      </c>
      <c r="E116" s="98">
        <f>_xlfn.DISPIMG("ID_0CB4D73AACBC445E8AB47C8537099F84",1)</f>
        <v/>
      </c>
    </row>
    <row r="117" s="558">
      <c r="A117" s="98" t="inlineStr">
        <is>
          <t>孙存浩-2024/3/6入职</t>
        </is>
      </c>
      <c r="B117" s="98" t="inlineStr">
        <is>
          <t>南京婚假15天，还没开始休，还没回复邮箱</t>
        </is>
      </c>
      <c r="C117" s="98" t="inlineStr">
        <is>
          <t>员工孙存浩申请婚假，麻烦帮忙查询下婚假天数</t>
        </is>
      </c>
    </row>
    <row r="118" s="558">
      <c r="A118" s="98" t="inlineStr">
        <is>
          <t>张阳-2024/12/25入职</t>
        </is>
      </c>
      <c r="B118" s="98" t="inlineStr">
        <is>
          <t>重庆-功能FAE-婚假05月18日-06月01日</t>
        </is>
      </c>
      <c r="C118" s="100" t="inlineStr">
        <is>
          <t xml:space="preserve">Hello 本人因结婚事宜，申请婚假：05月18日至06月01日，已妥善安排工作事宜，详情见附件，再次感谢各位同学的祝福，愿天天开心
</t>
        </is>
      </c>
      <c r="D118" s="98">
        <f>_xlfn.DISPIMG("ID_E4C3C706FDE74E3F9E283C27C6927018",1)</f>
        <v/>
      </c>
    </row>
    <row r="119" s="558">
      <c r="A119" s="98" t="inlineStr">
        <is>
          <t>陈梦豪-2025年3月19日入职</t>
        </is>
      </c>
      <c r="B119" s="98" t="inlineStr">
        <is>
          <t>第一年度5折现-已折现在26.5月工资条中</t>
        </is>
      </c>
      <c r="C119" s="100" t="inlineStr">
        <is>
          <t xml:space="preserve">员工陈梦豪-北京-（测试部）行车测试工程师-2025年/3月/19日入职 ；按照公司规则入职满一年释放5天年假，有效期15个月内；因来不及使用，现结余第1年度5天有效年假申请1:1折现，望批准！
</t>
        </is>
      </c>
    </row>
    <row r="120" s="558">
      <c r="A120" s="98" t="inlineStr">
        <is>
          <t>梁帅-2025年3月19日入职</t>
        </is>
      </c>
      <c r="B120" s="98" t="inlineStr">
        <is>
          <t>第一年度5折现-已折现在26.5月工资条中</t>
        </is>
      </c>
      <c r="C120" s="100" t="inlineStr">
        <is>
          <t>员工梁帅-地区-上海（测试）工程师-2025年/3月/19日入职 ；按照公司规则入职满一年释放5天年假，有效期15个月内；现结余第1年度5天有效年假申请1:1折现，望批准！</t>
        </is>
      </c>
      <c r="D120" s="98">
        <f>_xlfn.DISPIMG("ID_E7B53CEEEC5345DA98CC5D6B7A415F13",1)</f>
        <v/>
      </c>
    </row>
    <row r="121" s="558">
      <c r="A121" s="98" t="inlineStr">
        <is>
          <t>孙存浩-2024/3/6入职</t>
        </is>
      </c>
      <c r="B121" s="98" t="inlineStr">
        <is>
          <t>第二年度1</t>
        </is>
      </c>
      <c r="C121" s="98" t="inlineStr">
        <is>
          <t>员工孙存浩现申请第2年度1天年假，为5月12日</t>
        </is>
      </c>
      <c r="D121" s="98">
        <f>_xlfn.DISPIMG("ID_FBE835074BDA4329BC0ED40A4ED47182",1)</f>
        <v/>
      </c>
      <c r="E121" s="98">
        <f>_xlfn.DISPIMG("ID_830A52EA1FB344CF97910A47759E37B9",1)</f>
        <v/>
      </c>
    </row>
    <row r="122" s="558">
      <c r="A122" s="98" t="inlineStr">
        <is>
          <t>吴学艺-2024/2/19入职</t>
        </is>
      </c>
      <c r="B122" s="98" t="inlineStr">
        <is>
          <t>第二年度5折现-已折现在26.5月工资条中</t>
        </is>
      </c>
      <c r="C122" s="98" t="inlineStr">
        <is>
          <t>员工吴学艺-北京-（岗位）智能驾驶整车改装工程师-2024年/2月/19日入职 ； 按照公司规则入职满一年释放5天年假，有效期15个月内；现结余第2年度5天有效年假申请1:1折现，望批准！</t>
        </is>
      </c>
    </row>
    <row r="123" s="558">
      <c r="A123" s="98" t="inlineStr">
        <is>
          <t>余盛世-2025/3/24入职</t>
        </is>
      </c>
      <c r="B123" s="98" t="inlineStr">
        <is>
          <t>第一年度5折现-已折现在26.5月工资条中</t>
        </is>
      </c>
      <c r="C123" s="98" t="inlineStr">
        <is>
          <t>余盛世-2025/3/24入职 联系同事帮您查询了下，目前您入职已满一年，有5天年假按照公司规则入职满一年释放5天年假，有效期15个月内，申请1:1折现，望批准！</t>
        </is>
      </c>
      <c r="D123" s="98">
        <f>_xlfn.DISPIMG("ID_F4F3F1B8D45C4CC1995C17309625A4DD",1)</f>
        <v/>
      </c>
    </row>
    <row r="124" s="558">
      <c r="A124" s="98" t="inlineStr">
        <is>
          <t>徐海杰-2025/2/10入职</t>
        </is>
      </c>
      <c r="B124" s="98" t="inlineStr">
        <is>
          <t>第一年度1</t>
        </is>
      </c>
      <c r="C124" s="98" t="inlineStr">
        <is>
          <t>员工徐海杰现申请1天年假，时间：5月09日-5月09日，2025年年假剩于0天，2026年年假还未使用</t>
        </is>
      </c>
      <c r="D124" s="98">
        <f>_xlfn.DISPIMG("ID_D31FB536482F4005BC290A627498D611",1)</f>
        <v/>
      </c>
    </row>
    <row r="125" s="558">
      <c r="A125" s="98" t="inlineStr">
        <is>
          <t>仲秀秀-2024/9/11入职</t>
        </is>
      </c>
      <c r="B125" s="98" t="inlineStr">
        <is>
          <t>第二年度0.5折现-已折现在26.5月工资条中</t>
        </is>
      </c>
      <c r="C125" s="100" t="inlineStr">
        <is>
          <t>员工仲秀秀-上海张江-行政-2024年/9月/11日入职 ；按照公司规则入职满一年释放5天年假，有效期15个月内；现结余第二年度0.5天有效年假申请1:1折现，望批准！</t>
        </is>
      </c>
    </row>
    <row r="126" s="558">
      <c r="A126" s="98" t="inlineStr">
        <is>
          <t>万志斌-2025/4/14入职</t>
        </is>
      </c>
      <c r="B126" s="98" t="inlineStr">
        <is>
          <t>第一年度3</t>
        </is>
      </c>
      <c r="C126" s="98" t="inlineStr">
        <is>
          <t>员工万志斌申请3天年假，时间：2026.5.13--2026.5.15，剩余1天</t>
        </is>
      </c>
      <c r="D126" s="98">
        <f>_xlfn.DISPIMG("ID_FBDDB2BF46D8412698C04E6EF2AD2ED0",1)</f>
        <v/>
      </c>
      <c r="E126" s="98">
        <f>_xlfn.DISPIMG("ID_2C969A83C84B43D69E2386EE2674DD3C",1)</f>
        <v/>
      </c>
    </row>
    <row r="127" s="558">
      <c r="A127" s="98" t="inlineStr">
        <is>
          <t>梁佳俊-2025/3/3入职</t>
        </is>
      </c>
      <c r="B127" s="98" t="inlineStr">
        <is>
          <t>第一年度2</t>
        </is>
      </c>
      <c r="C127" s="98" t="inlineStr">
        <is>
          <t>梁佳俊5.18-5.19两天申请年假，剩余0天</t>
        </is>
      </c>
      <c r="D127" s="98">
        <f>_xlfn.DISPIMG("ID_843AD28D1A94418595F083F25458F8E0",1)</f>
        <v/>
      </c>
    </row>
    <row r="128" s="558">
      <c r="A128" s="98" t="inlineStr">
        <is>
          <t>刘梦焕-2024/4/22入职</t>
        </is>
      </c>
      <c r="B128" s="98" t="inlineStr">
        <is>
          <t>第二年度1</t>
        </is>
      </c>
      <c r="C128" s="98" t="inlineStr">
        <is>
          <t>刘梦焕现申请 1天年假，2025 年度年假剩余1-1=0天，日期是2026.5.9</t>
        </is>
      </c>
      <c r="D128" s="98">
        <f>_xlfn.DISPIMG("ID_46041228002A42918336BAC24F45F3A7",1)</f>
        <v/>
      </c>
      <c r="E128" s="98">
        <f>_xlfn.DISPIMG("ID_81A569D9D7934305876DADB55E63E11B",1)</f>
        <v/>
      </c>
    </row>
    <row r="129" s="558">
      <c r="A129" s="98" t="inlineStr">
        <is>
          <t>万志斌-2025/4/14入职</t>
        </is>
      </c>
      <c r="B129" s="98" t="inlineStr">
        <is>
          <t>第一年度1折现-已折现在26.5月工资条中</t>
        </is>
      </c>
      <c r="C129" s="100" t="inlineStr">
        <is>
          <t>员工万志斌-南京-自动驾驶测试开发工程师-2025年/4月/14日入职 ；按照公司规则入职满一年释放5天年假，有效期15个月内；现结余第2025年度1天有效年假申请1:1折现，望批准！</t>
        </is>
      </c>
    </row>
    <row r="130" s="558">
      <c r="A130" s="98" t="inlineStr">
        <is>
          <t>田洪洋-2024/9/9短期开始入职</t>
        </is>
      </c>
      <c r="B130" s="103" t="inlineStr">
        <is>
          <t>第一年度1折现-待折现在26年6月工资条</t>
        </is>
      </c>
      <c r="C130" s="98" t="inlineStr">
        <is>
          <t>员工田洪洋-南京-测试工程师-2024年/9月/9日入职；按照公司规则入职满一年释放年假，有效期15个月内；现结余第一年度1天有效年假申请1:1折现</t>
        </is>
      </c>
    </row>
    <row r="131" s="558">
      <c r="A131" s="98" t="inlineStr">
        <is>
          <t>陈鑫-2025/3/5入职</t>
        </is>
      </c>
      <c r="B131" s="98" t="inlineStr">
        <is>
          <t>延长年假</t>
        </is>
      </c>
      <c r="C131" s="98" t="inlineStr">
        <is>
          <t>员工陈鑫-深圳-销售运营-2025/3/5入职；按照公司规则入职满一年释放5天年假，有效期15个月内；现因年假已于2026年6月6日过期，发此邮件特殊申请年假延长1个月使用期（至2026年7月6日），并承诺：“绝不泄露此事，否则自愿接受公司收回年假相关处罚”，望特批！</t>
        </is>
      </c>
    </row>
    <row r="132" s="558">
      <c r="A132" s="98" t="inlineStr">
        <is>
          <t>傅鹤雨-2024/4/15入职</t>
        </is>
      </c>
      <c r="B132" s="98" t="inlineStr">
        <is>
          <t>第二年度0.5天</t>
        </is>
      </c>
      <c r="C132" s="98" t="inlineStr">
        <is>
          <t>员工傅鹤雨现申请0.5天年假，时间：2026.6月5日上午，请完后 剩余0天年假；</t>
        </is>
      </c>
    </row>
    <row r="133" s="558">
      <c r="A133" s="98" t="inlineStr">
        <is>
          <t>刘建鹤2024/4/8入职</t>
        </is>
      </c>
      <c r="B133" s="98" t="inlineStr">
        <is>
          <t>第二年度3天</t>
        </is>
      </c>
      <c r="C133" s="100" t="inlineStr">
        <is>
          <t>员工刘建鹤现申请第二年度3天年假，时间是2026,6,16   6.17    6.18这三天哈</t>
        </is>
      </c>
      <c r="D133" s="98">
        <f>_xlfn.DISPIMG("ID_6EF0E4942D564F3EB73B8A13848E81D0",1)</f>
        <v/>
      </c>
    </row>
    <row r="134" s="558">
      <c r="A134" s="98" t="inlineStr">
        <is>
          <t>陆俊杰-2024/1/31入职</t>
        </is>
      </c>
      <c r="B134" s="98" t="inlineStr">
        <is>
          <t>陪产假（上海）10天</t>
        </is>
      </c>
      <c r="C134" s="98" t="inlineStr">
        <is>
          <t>本人陆俊杰上海【大感知部软件与集成-测试】现申请10天陪产假，时间是2026年6月3日上午至2026年6月12日下午</t>
        </is>
      </c>
    </row>
    <row r="135" s="558">
      <c r="A135" s="98" t="inlineStr">
        <is>
          <t>刘梦焕</t>
        </is>
      </c>
      <c r="B135" s="98" t="inlineStr">
        <is>
          <t>奇葩女员工居家办公</t>
        </is>
      </c>
      <c r="C135" s="98" t="inlineStr">
        <is>
          <t>刘梦焕现申请2026.6.10     6.11         6.12 三天居家办公</t>
        </is>
      </c>
      <c r="D135" s="98">
        <f>_xlfn.DISPIMG("ID_1D76251BD3C4459FBBF87C365FDFF2F9",1)</f>
        <v/>
      </c>
    </row>
    <row r="136" s="558">
      <c r="A136" s="98" t="inlineStr">
        <is>
          <t>魏晨旭-2024/8/26入职</t>
        </is>
      </c>
      <c r="B136" s="98" t="inlineStr">
        <is>
          <t>第二年度2</t>
        </is>
      </c>
      <c r="C136" s="98" t="inlineStr">
        <is>
          <t>员工魏晨旭现申请2天年假（2025/8/26 ～ 2026/8/27 年度年假），时间：年假时间是 2026年6月18日 和  2026年6月22日</t>
        </is>
      </c>
    </row>
    <row r="137" s="558">
      <c r="A137" s="98" t="inlineStr">
        <is>
          <t>赵亮-2025/4/21入职</t>
        </is>
      </c>
      <c r="B137" s="103" t="inlineStr">
        <is>
          <t>第一年度5折现-待折现在26年6月工资条</t>
        </is>
      </c>
      <c r="C137" s="98" t="inlineStr">
        <is>
          <t>赵亮-南京-自动驾驶集成测试工程师工程师-2025年/4月/21日入职 ；按照公司规则入职满一年释放5天年假，有效期15个月内；现结余第1年度5天有效年假申请1:1折现，望批准！</t>
        </is>
      </c>
    </row>
    <row r="138" s="558">
      <c r="A138" s="98" t="inlineStr">
        <is>
          <t>陈鑫-2025/3/5入职</t>
        </is>
      </c>
      <c r="B138" s="103" t="inlineStr">
        <is>
          <t>第一年度5折现-待折现在26年6月工资条</t>
        </is>
      </c>
      <c r="C138" s="98" t="inlineStr">
        <is>
          <t>员工陈鑫-深圳-销售运营-2025/3/5入职；按照公司规则入职满一年释放5天年假，有效期15个月内；现结余第1年度5天有效年假申请1:1折现，望批准！</t>
        </is>
      </c>
      <c r="D138" s="98">
        <f>_xlfn.DISPIMG("ID_6D4C069920A4404DB51464EC0FF8C160",1)</f>
        <v/>
      </c>
    </row>
  </sheetData>
  <autoFilter ref="A1:G138"/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W101"/>
  <sheetViews>
    <sheetView zoomScale="60" zoomScaleNormal="60" workbookViewId="0">
      <selection activeCell="B173" sqref="B173"/>
    </sheetView>
  </sheetViews>
  <sheetFormatPr baseColWidth="8" defaultColWidth="8.888888888888889" defaultRowHeight="35" customHeight="1"/>
  <cols>
    <col width="6.00925925925926" customWidth="1" style="82" min="1" max="1"/>
    <col width="15.5555555555556" customWidth="1" style="532" min="2" max="2"/>
    <col width="10.6296296296296" customWidth="1" style="532" min="3" max="3"/>
    <col width="45.3333333333333" customWidth="1" style="532" min="4" max="4"/>
    <col width="20.1111111111111" customWidth="1" style="533" min="5" max="5"/>
    <col width="15.7777777777778" customWidth="1" style="532" min="6" max="6"/>
    <col width="34.8888888888889" customWidth="1" style="82" min="7" max="7"/>
    <col width="30.2222222222222" customWidth="1" style="82" min="8" max="8"/>
    <col width="14.2222222222222" customWidth="1" style="532" min="9" max="9"/>
    <col width="8.888888888888889" customWidth="1" style="532" min="10" max="16384"/>
  </cols>
  <sheetData>
    <row r="1" customFormat="1" s="632">
      <c r="A1" s="84" t="inlineStr">
        <is>
          <t>序号</t>
        </is>
      </c>
      <c r="B1" s="633" t="inlineStr">
        <is>
          <t>姓名</t>
        </is>
      </c>
      <c r="C1" s="634" t="inlineStr">
        <is>
          <t>性别</t>
        </is>
      </c>
      <c r="D1" s="633" t="inlineStr">
        <is>
          <t>岗位</t>
        </is>
      </c>
      <c r="E1" s="635" t="inlineStr">
        <is>
          <t>入职时间</t>
        </is>
      </c>
      <c r="F1" s="633" t="inlineStr">
        <is>
          <t>工作地</t>
        </is>
      </c>
      <c r="G1" s="84" t="inlineStr">
        <is>
          <t>身份证号码</t>
        </is>
      </c>
      <c r="H1" s="84" t="inlineStr">
        <is>
          <t>生日日期</t>
        </is>
      </c>
      <c r="I1" s="544" t="inlineStr">
        <is>
          <t>所属季度</t>
        </is>
      </c>
    </row>
    <row r="2" customFormat="1" s="532">
      <c r="A2" s="95" t="n">
        <v>1</v>
      </c>
      <c r="B2" s="636" t="inlineStr">
        <is>
          <t>秦亚杰</t>
        </is>
      </c>
      <c r="C2" s="637" t="inlineStr">
        <is>
          <t>男</t>
        </is>
      </c>
      <c r="D2" s="637" t="inlineStr">
        <is>
          <t>车辆调试工程师</t>
        </is>
      </c>
      <c r="E2" s="548" t="n">
        <v>44691</v>
      </c>
      <c r="F2" s="636" t="inlineStr">
        <is>
          <t>北京</t>
        </is>
      </c>
      <c r="G2" s="523" t="inlineStr">
        <is>
          <t>130824198512186014</t>
        </is>
      </c>
      <c r="H2" s="548">
        <f>TEXT(MID(G2,7,8),"0000-00-00")</f>
        <v/>
      </c>
      <c r="I2" s="95">
        <f>CHOOSE(MONTH($H2),1,1,1,2,2,2,3,3,3,4,4,4)</f>
        <v/>
      </c>
    </row>
    <row r="3" customFormat="1" s="532">
      <c r="A3" s="95" t="n">
        <v>2</v>
      </c>
      <c r="B3" s="636" t="inlineStr">
        <is>
          <t>李友良</t>
        </is>
      </c>
      <c r="C3" s="637" t="inlineStr">
        <is>
          <t>男</t>
        </is>
      </c>
      <c r="D3" s="637" t="inlineStr">
        <is>
          <t>标定工程师</t>
        </is>
      </c>
      <c r="E3" s="548" t="n">
        <v>44706</v>
      </c>
      <c r="F3" s="636" t="inlineStr">
        <is>
          <t>北京</t>
        </is>
      </c>
      <c r="G3" s="523" t="inlineStr">
        <is>
          <t>131126199505161839</t>
        </is>
      </c>
      <c r="H3" s="548">
        <f>TEXT(MID(G3,7,8),"0000-00-00")</f>
        <v/>
      </c>
      <c r="I3" s="95">
        <f>CHOOSE(MONTH($H3),1,1,1,2,2,2,3,3,3,4,4,4)</f>
        <v/>
      </c>
    </row>
    <row r="4" customFormat="1" s="532">
      <c r="A4" s="95" t="n">
        <v>3</v>
      </c>
      <c r="B4" s="636" t="inlineStr">
        <is>
          <t>魏正南</t>
        </is>
      </c>
      <c r="C4" s="637" t="inlineStr">
        <is>
          <t>男</t>
        </is>
      </c>
      <c r="D4" s="637" t="inlineStr">
        <is>
          <t>智能驾驶车辆改装工程师</t>
        </is>
      </c>
      <c r="E4" s="548" t="n">
        <v>45313</v>
      </c>
      <c r="F4" s="636" t="inlineStr">
        <is>
          <t>北京</t>
        </is>
      </c>
      <c r="G4" s="523" t="inlineStr">
        <is>
          <t>110229198403211319</t>
        </is>
      </c>
      <c r="H4" s="548">
        <f>TEXT(MID(G4,7,8),"0000-00-00")</f>
        <v/>
      </c>
      <c r="I4" s="95">
        <f>CHOOSE(MONTH($H4),1,1,1,2,2,2,3,3,3,4,4,4)</f>
        <v/>
      </c>
    </row>
    <row r="5" customFormat="1" s="532">
      <c r="A5" s="95" t="n">
        <v>4</v>
      </c>
      <c r="B5" s="636" t="inlineStr">
        <is>
          <t>周浩</t>
        </is>
      </c>
      <c r="C5" s="637" t="inlineStr">
        <is>
          <t>男</t>
        </is>
      </c>
      <c r="D5" s="637" t="inlineStr">
        <is>
          <t>信息采集员</t>
        </is>
      </c>
      <c r="E5" s="548" t="n">
        <v>45313</v>
      </c>
      <c r="F5" s="636" t="inlineStr">
        <is>
          <t>北京</t>
        </is>
      </c>
      <c r="G5" s="523" t="inlineStr">
        <is>
          <t>130984200011061530</t>
        </is>
      </c>
      <c r="H5" s="548">
        <f>TEXT(MID(G5,7,8),"0000-00-00")</f>
        <v/>
      </c>
      <c r="I5" s="95">
        <f>CHOOSE(MONTH($H5),1,1,1,2,2,2,3,3,3,4,4,4)</f>
        <v/>
      </c>
    </row>
    <row r="6" customFormat="1" s="532">
      <c r="A6" s="95" t="n">
        <v>5</v>
      </c>
      <c r="B6" s="636" t="inlineStr">
        <is>
          <t>陆俊杰</t>
        </is>
      </c>
      <c r="C6" s="637" t="inlineStr">
        <is>
          <t>男</t>
        </is>
      </c>
      <c r="D6" s="637" t="inlineStr">
        <is>
          <t>自动驾驶集成测试工程师</t>
        </is>
      </c>
      <c r="E6" s="548" t="n">
        <v>45322</v>
      </c>
      <c r="F6" s="636" t="inlineStr">
        <is>
          <t>上海</t>
        </is>
      </c>
      <c r="G6" s="523" t="inlineStr">
        <is>
          <t>310113199508281415</t>
        </is>
      </c>
      <c r="H6" s="548">
        <f>TEXT(MID(G6,7,8),"0000-00-00")</f>
        <v/>
      </c>
      <c r="I6" s="95">
        <f>CHOOSE(MONTH($H6),1,1,1,2,2,2,3,3,3,4,4,4)</f>
        <v/>
      </c>
    </row>
    <row r="7" customFormat="1" s="532">
      <c r="A7" s="95" t="n">
        <v>6</v>
      </c>
      <c r="B7" s="636" t="inlineStr">
        <is>
          <t>吴学艺</t>
        </is>
      </c>
      <c r="C7" s="637" t="inlineStr">
        <is>
          <t>男</t>
        </is>
      </c>
      <c r="D7" s="637" t="inlineStr">
        <is>
          <t>智能驾驶车辆改装工程师</t>
        </is>
      </c>
      <c r="E7" s="548" t="n">
        <v>45341</v>
      </c>
      <c r="F7" s="636" t="inlineStr">
        <is>
          <t>北京</t>
        </is>
      </c>
      <c r="G7" s="523" t="inlineStr">
        <is>
          <t>130732199411080850</t>
        </is>
      </c>
      <c r="H7" s="548">
        <f>TEXT(MID(G7,7,8),"0000-00-00")</f>
        <v/>
      </c>
      <c r="I7" s="95">
        <f>CHOOSE(MONTH($H7),1,1,1,2,2,2,3,3,3,4,4,4)</f>
        <v/>
      </c>
    </row>
    <row r="8" customFormat="1" s="532">
      <c r="A8" s="95" t="n">
        <v>7</v>
      </c>
      <c r="B8" s="636" t="inlineStr">
        <is>
          <t>窦振</t>
        </is>
      </c>
      <c r="C8" s="637" t="inlineStr">
        <is>
          <t>男</t>
        </is>
      </c>
      <c r="D8" s="637" t="inlineStr">
        <is>
          <t>智能驾驶车辆改装工程师</t>
        </is>
      </c>
      <c r="E8" s="548" t="n">
        <v>45343</v>
      </c>
      <c r="F8" s="636" t="inlineStr">
        <is>
          <t>上海</t>
        </is>
      </c>
      <c r="G8" s="523" t="inlineStr">
        <is>
          <t>342423199601012312</t>
        </is>
      </c>
      <c r="H8" s="548">
        <f>TEXT(MID(G8,7,8),"0000-00-00")</f>
        <v/>
      </c>
      <c r="I8" s="95">
        <f>CHOOSE(MONTH($H8),1,1,1,2,2,2,3,3,3,4,4,4)</f>
        <v/>
      </c>
    </row>
    <row r="9" customFormat="1" s="532">
      <c r="A9" s="95" t="n">
        <v>8</v>
      </c>
      <c r="B9" s="636" t="inlineStr">
        <is>
          <t>王风雄</t>
        </is>
      </c>
      <c r="C9" s="637" t="inlineStr">
        <is>
          <t>男</t>
        </is>
      </c>
      <c r="D9" s="637" t="inlineStr">
        <is>
          <t>智能驾驶车辆改装工程师</t>
        </is>
      </c>
      <c r="E9" s="548" t="n">
        <v>45348</v>
      </c>
      <c r="F9" s="636" t="inlineStr">
        <is>
          <t>北京</t>
        </is>
      </c>
      <c r="G9" s="523" t="inlineStr">
        <is>
          <t>132201199206092879</t>
        </is>
      </c>
      <c r="H9" s="548">
        <f>TEXT(MID(G9,7,8),"0000-00-00")</f>
        <v/>
      </c>
      <c r="I9" s="95">
        <f>CHOOSE(MONTH($H9),1,1,1,2,2,2,3,3,3,4,4,4)</f>
        <v/>
      </c>
    </row>
    <row r="10" customFormat="1" s="532">
      <c r="A10" s="95" t="n">
        <v>9</v>
      </c>
      <c r="B10" s="636" t="inlineStr">
        <is>
          <t>孙存浩</t>
        </is>
      </c>
      <c r="C10" s="637" t="inlineStr">
        <is>
          <t>男</t>
        </is>
      </c>
      <c r="D10" s="637" t="inlineStr">
        <is>
          <t>前端开发工程师</t>
        </is>
      </c>
      <c r="E10" s="548" t="n">
        <v>45357</v>
      </c>
      <c r="F10" s="636" t="inlineStr">
        <is>
          <t>南京市</t>
        </is>
      </c>
      <c r="G10" s="523" t="inlineStr">
        <is>
          <t>320826199707014012</t>
        </is>
      </c>
      <c r="H10" s="548">
        <f>TEXT(MID(G10,7,8),"0000-00-00")</f>
        <v/>
      </c>
      <c r="I10" s="95">
        <f>CHOOSE(MONTH($H10),1,1,1,2,2,2,3,3,3,4,4,4)</f>
        <v/>
      </c>
    </row>
    <row r="11" customFormat="1" s="532">
      <c r="A11" s="95" t="n">
        <v>10</v>
      </c>
      <c r="B11" s="636" t="inlineStr">
        <is>
          <t>向凌波</t>
        </is>
      </c>
      <c r="C11" s="637" t="inlineStr">
        <is>
          <t>男</t>
        </is>
      </c>
      <c r="D11" s="637" t="inlineStr">
        <is>
          <t>上海-土星PDU-测试部-
自动驾驶测试开发工程师（算法）</t>
        </is>
      </c>
      <c r="E11" s="548" t="n">
        <v>45362</v>
      </c>
      <c r="F11" s="636" t="inlineStr">
        <is>
          <t>上海</t>
        </is>
      </c>
      <c r="G11" s="523" t="inlineStr">
        <is>
          <t>500240199910140397</t>
        </is>
      </c>
      <c r="H11" s="548">
        <f>TEXT(MID(G11,7,8),"0000-00-00")</f>
        <v/>
      </c>
      <c r="I11" s="95">
        <f>CHOOSE(MONTH($H11),1,1,1,2,2,2,3,3,3,4,4,4)</f>
        <v/>
      </c>
    </row>
    <row r="12" customFormat="1" s="532">
      <c r="A12" s="95" t="n">
        <v>11</v>
      </c>
      <c r="B12" s="636" t="inlineStr">
        <is>
          <t>刘郴</t>
        </is>
      </c>
      <c r="C12" s="637" t="inlineStr">
        <is>
          <t>男</t>
        </is>
      </c>
      <c r="D12" s="637" t="inlineStr">
        <is>
          <t>自动驾驶实车
系统验证工程师</t>
        </is>
      </c>
      <c r="E12" s="548" t="n">
        <v>45362</v>
      </c>
      <c r="F12" s="636" t="inlineStr">
        <is>
          <t>北京</t>
        </is>
      </c>
      <c r="G12" s="523" t="inlineStr">
        <is>
          <t>430922200110054514</t>
        </is>
      </c>
      <c r="H12" s="548">
        <f>TEXT(MID(G12,7,8),"0000-00-00")</f>
        <v/>
      </c>
      <c r="I12" s="95">
        <f>CHOOSE(MONTH($H12),1,1,1,2,2,2,3,3,3,4,4,4)</f>
        <v/>
      </c>
    </row>
    <row r="13" customFormat="1" s="532">
      <c r="A13" s="95" t="n">
        <v>12</v>
      </c>
      <c r="B13" s="636" t="inlineStr">
        <is>
          <t>方强强</t>
        </is>
      </c>
      <c r="C13" s="637" t="inlineStr">
        <is>
          <t>男</t>
        </is>
      </c>
      <c r="D13" s="637" t="inlineStr">
        <is>
          <t>智能驾驶标定工程师</t>
        </is>
      </c>
      <c r="E13" s="548" t="n">
        <v>45369</v>
      </c>
      <c r="F13" s="636" t="inlineStr">
        <is>
          <t>上海</t>
        </is>
      </c>
      <c r="G13" s="523" t="inlineStr">
        <is>
          <t>341225199509106317</t>
        </is>
      </c>
      <c r="H13" s="548">
        <f>TEXT(MID(G13,7,8),"0000-00-00")</f>
        <v/>
      </c>
      <c r="I13" s="95">
        <f>CHOOSE(MONTH($H13),1,1,1,2,2,2,3,3,3,4,4,4)</f>
        <v/>
      </c>
    </row>
    <row r="14" customFormat="1" s="532">
      <c r="A14" s="95" t="n">
        <v>13</v>
      </c>
      <c r="B14" s="636" t="inlineStr">
        <is>
          <t>马威</t>
        </is>
      </c>
      <c r="C14" s="637" t="inlineStr">
        <is>
          <t>男</t>
        </is>
      </c>
      <c r="D14" s="637" t="inlineStr">
        <is>
          <t>HMI集成测试工程师</t>
        </is>
      </c>
      <c r="E14" s="548" t="n">
        <v>45364</v>
      </c>
      <c r="F14" s="636" t="inlineStr">
        <is>
          <t>上海</t>
        </is>
      </c>
      <c r="G14" s="523" t="inlineStr">
        <is>
          <t>412702198902126573</t>
        </is>
      </c>
      <c r="H14" s="548">
        <f>TEXT(MID(G14,7,8),"0000-00-00")</f>
        <v/>
      </c>
      <c r="I14" s="95">
        <f>CHOOSE(MONTH($H14),1,1,1,2,2,2,3,3,3,4,4,4)</f>
        <v/>
      </c>
      <c r="R14" s="532" t="inlineStr">
        <is>
          <t>z</t>
        </is>
      </c>
    </row>
    <row r="15" customFormat="1" s="532">
      <c r="A15" s="95" t="n">
        <v>14</v>
      </c>
      <c r="B15" s="636" t="inlineStr">
        <is>
          <t>欧阳成</t>
        </is>
      </c>
      <c r="C15" s="637" t="inlineStr">
        <is>
          <t>男</t>
        </is>
      </c>
      <c r="D15" s="637" t="inlineStr">
        <is>
          <t>智能驾驶测试开发工程师</t>
        </is>
      </c>
      <c r="E15" s="548" t="n">
        <v>45376</v>
      </c>
      <c r="F15" s="636" t="inlineStr">
        <is>
          <t>南京</t>
        </is>
      </c>
      <c r="G15" s="523" t="inlineStr">
        <is>
          <t>422202199811091810</t>
        </is>
      </c>
      <c r="H15" s="548">
        <f>TEXT(MID(G15,7,8),"0000-00-00")</f>
        <v/>
      </c>
      <c r="I15" s="95">
        <f>CHOOSE(MONTH($H15),1,1,1,2,2,2,3,3,3,4,4,4)</f>
        <v/>
      </c>
    </row>
    <row r="16" customFormat="1" s="532">
      <c r="A16" s="95" t="n">
        <v>15</v>
      </c>
      <c r="B16" s="636" t="inlineStr">
        <is>
          <t>刘建鹤</t>
        </is>
      </c>
      <c r="C16" s="636" t="inlineStr">
        <is>
          <t>男</t>
        </is>
      </c>
      <c r="D16" s="637" t="inlineStr">
        <is>
          <t>自动驾驶视觉算法工程师</t>
        </is>
      </c>
      <c r="E16" s="548" t="n">
        <v>45390</v>
      </c>
      <c r="F16" s="636" t="inlineStr">
        <is>
          <t>北京</t>
        </is>
      </c>
      <c r="G16" s="523" t="inlineStr">
        <is>
          <t>131126199811090039</t>
        </is>
      </c>
      <c r="H16" s="548">
        <f>TEXT(MID(G16,7,8),"0000-00-00")</f>
        <v/>
      </c>
      <c r="I16" s="95">
        <f>CHOOSE(MONTH($H16),1,1,1,2,2,2,3,3,3,4,4,4)</f>
        <v/>
      </c>
    </row>
    <row r="17" customFormat="1" s="532">
      <c r="A17" s="95" t="n">
        <v>16</v>
      </c>
      <c r="B17" s="636" t="inlineStr">
        <is>
          <t>傅鹤雨</t>
        </is>
      </c>
      <c r="C17" s="636" t="inlineStr">
        <is>
          <t>男</t>
        </is>
      </c>
      <c r="D17" s="637" t="inlineStr">
        <is>
          <t>全栈开发工程师</t>
        </is>
      </c>
      <c r="E17" s="548" t="n">
        <v>45397</v>
      </c>
      <c r="F17" s="636" t="inlineStr">
        <is>
          <t>南京</t>
        </is>
      </c>
      <c r="G17" s="523" t="inlineStr">
        <is>
          <t>320721198904073618</t>
        </is>
      </c>
      <c r="H17" s="548">
        <f>TEXT(MID(G17,7,8),"0000-00-00")</f>
        <v/>
      </c>
      <c r="I17" s="95">
        <f>CHOOSE(MONTH($H17),1,1,1,2,2,2,3,3,3,4,4,4)</f>
        <v/>
      </c>
    </row>
    <row r="18" customFormat="1" s="532">
      <c r="A18" s="95" t="n">
        <v>17</v>
      </c>
      <c r="B18" s="636" t="inlineStr">
        <is>
          <t>刘梦焕</t>
        </is>
      </c>
      <c r="C18" s="636" t="inlineStr">
        <is>
          <t>女</t>
        </is>
      </c>
      <c r="D18" s="637" t="inlineStr">
        <is>
          <t>react前端开发工程师</t>
        </is>
      </c>
      <c r="E18" s="548" t="n">
        <v>45404</v>
      </c>
      <c r="F18" s="636" t="inlineStr">
        <is>
          <t>上海</t>
        </is>
      </c>
      <c r="G18" s="523" t="inlineStr">
        <is>
          <t>410323199907170541</t>
        </is>
      </c>
      <c r="H18" s="548">
        <f>TEXT(MID(G18,7,8),"0000-00-00")</f>
        <v/>
      </c>
      <c r="I18" s="95">
        <f>CHOOSE(MONTH($H18),1,1,1,2,2,2,3,3,3,4,4,4)</f>
        <v/>
      </c>
    </row>
    <row r="19" customFormat="1" s="532">
      <c r="A19" s="95" t="n">
        <v>18</v>
      </c>
      <c r="B19" s="636" t="inlineStr">
        <is>
          <t>汪晓康</t>
        </is>
      </c>
      <c r="C19" s="636" t="inlineStr">
        <is>
          <t>男</t>
        </is>
      </c>
      <c r="D19" s="637" t="inlineStr">
        <is>
          <t>自动化测试开发工程师</t>
        </is>
      </c>
      <c r="E19" s="548" t="n">
        <v>45420</v>
      </c>
      <c r="F19" s="636" t="inlineStr">
        <is>
          <t>南京</t>
        </is>
      </c>
      <c r="G19" s="523" t="inlineStr">
        <is>
          <t>341122199208125210</t>
        </is>
      </c>
      <c r="H19" s="548">
        <f>TEXT(MID(G19,7,8),"0000-00-00")</f>
        <v/>
      </c>
      <c r="I19" s="95">
        <f>CHOOSE(MONTH($H19),1,1,1,2,2,2,3,3,3,4,4,4)</f>
        <v/>
      </c>
    </row>
    <row r="20" customFormat="1" s="532">
      <c r="A20" s="95" t="n">
        <v>19</v>
      </c>
      <c r="B20" s="636" t="inlineStr">
        <is>
          <t>江杰</t>
        </is>
      </c>
      <c r="C20" s="636" t="inlineStr">
        <is>
          <t>男</t>
        </is>
      </c>
      <c r="D20" s="637" t="inlineStr">
        <is>
          <t>自动驾驶车辆改装工程师</t>
        </is>
      </c>
      <c r="E20" s="548" t="n">
        <v>45432</v>
      </c>
      <c r="F20" s="636" t="inlineStr">
        <is>
          <t>上海</t>
        </is>
      </c>
      <c r="G20" s="523" t="inlineStr">
        <is>
          <t>341125199108215998</t>
        </is>
      </c>
      <c r="H20" s="548">
        <f>TEXT(MID(G20,7,8),"0000-00-00")</f>
        <v/>
      </c>
      <c r="I20" s="95">
        <f>CHOOSE(MONTH($H20),1,1,1,2,2,2,3,3,3,4,4,4)</f>
        <v/>
      </c>
    </row>
    <row r="21" customFormat="1" s="532">
      <c r="A21" s="95" t="n">
        <v>20</v>
      </c>
      <c r="B21" s="636" t="inlineStr">
        <is>
          <t>宁梦雷</t>
        </is>
      </c>
      <c r="C21" s="636" t="inlineStr">
        <is>
          <t>男</t>
        </is>
      </c>
      <c r="D21" s="637" t="inlineStr">
        <is>
          <t>系统验证工程师</t>
        </is>
      </c>
      <c r="E21" s="548" t="n">
        <v>45434</v>
      </c>
      <c r="F21" s="636" t="inlineStr">
        <is>
          <t>上海</t>
        </is>
      </c>
      <c r="G21" s="523" t="inlineStr">
        <is>
          <t>341203199404032819</t>
        </is>
      </c>
      <c r="H21" s="548">
        <f>TEXT(MID(G21,7,8),"0000-00-00")</f>
        <v/>
      </c>
      <c r="I21" s="95">
        <f>CHOOSE(MONTH($H21),1,1,1,2,2,2,3,3,3,4,4,4)</f>
        <v/>
      </c>
    </row>
    <row r="22" customFormat="1" s="532">
      <c r="A22" s="95" t="n">
        <v>21</v>
      </c>
      <c r="B22" s="636" t="inlineStr">
        <is>
          <t>赵东起</t>
        </is>
      </c>
      <c r="C22" s="636" t="inlineStr">
        <is>
          <t>男</t>
        </is>
      </c>
      <c r="D22" s="637" t="inlineStr">
        <is>
          <t>智能驾驶车辆改装工程师</t>
        </is>
      </c>
      <c r="E22" s="548" t="n">
        <v>45448</v>
      </c>
      <c r="F22" s="636" t="inlineStr">
        <is>
          <t>上海</t>
        </is>
      </c>
      <c r="G22" s="523" t="inlineStr">
        <is>
          <t>130828200004140832</t>
        </is>
      </c>
      <c r="H22" s="548">
        <f>TEXT(MID(G22,7,8),"0000-00-00")</f>
        <v/>
      </c>
      <c r="I22" s="95">
        <f>CHOOSE(MONTH($H22),1,1,1,2,2,2,3,3,3,4,4,4)</f>
        <v/>
      </c>
    </row>
    <row r="23" customFormat="1" s="532">
      <c r="A23" s="95" t="n">
        <v>22</v>
      </c>
      <c r="B23" s="636" t="inlineStr">
        <is>
          <t>冉松林</t>
        </is>
      </c>
      <c r="C23" s="636" t="inlineStr">
        <is>
          <t>男</t>
        </is>
      </c>
      <c r="D23" s="637" t="inlineStr">
        <is>
          <t>功能fae工程师</t>
        </is>
      </c>
      <c r="E23" s="548" t="n">
        <v>45462</v>
      </c>
      <c r="F23" s="636" t="inlineStr">
        <is>
          <t>重庆</t>
        </is>
      </c>
      <c r="G23" s="523" t="inlineStr">
        <is>
          <t>500243199701106255</t>
        </is>
      </c>
      <c r="H23" s="548">
        <f>TEXT(MID(G23,7,8),"0000-00-00")</f>
        <v/>
      </c>
      <c r="I23" s="95">
        <f>CHOOSE(MONTH($H23),1,1,1,2,2,2,3,3,3,4,4,4)</f>
        <v/>
      </c>
    </row>
    <row r="24" customFormat="1" s="532">
      <c r="A24" s="95" t="n">
        <v>23</v>
      </c>
      <c r="B24" s="636" t="inlineStr">
        <is>
          <t>刘深园</t>
        </is>
      </c>
      <c r="C24" s="636" t="inlineStr">
        <is>
          <t>男</t>
        </is>
      </c>
      <c r="D24" s="637" t="inlineStr">
        <is>
          <t>智能驾驶车辆改装工程师</t>
        </is>
      </c>
      <c r="E24" s="548" t="n">
        <v>45467</v>
      </c>
      <c r="F24" s="636" t="inlineStr">
        <is>
          <t>北京</t>
        </is>
      </c>
      <c r="G24" s="523" t="inlineStr">
        <is>
          <t>341221199505025231</t>
        </is>
      </c>
      <c r="H24" s="548">
        <f>TEXT(MID(G24,7,8),"0000-00-00")</f>
        <v/>
      </c>
      <c r="I24" s="95">
        <f>CHOOSE(MONTH($H24),1,1,1,2,2,2,3,3,3,4,4,4)</f>
        <v/>
      </c>
    </row>
    <row r="25" customFormat="1" s="532">
      <c r="A25" s="95" t="n">
        <v>24</v>
      </c>
      <c r="B25" s="636" t="inlineStr">
        <is>
          <t>王勇</t>
        </is>
      </c>
      <c r="C25" s="636" t="inlineStr">
        <is>
          <t>男</t>
        </is>
      </c>
      <c r="D25" s="637" t="inlineStr">
        <is>
          <t>司机队长</t>
        </is>
      </c>
      <c r="E25" s="548" t="n">
        <v>45468</v>
      </c>
      <c r="F25" s="636" t="inlineStr">
        <is>
          <t>南京</t>
        </is>
      </c>
      <c r="G25" s="523" t="inlineStr">
        <is>
          <t>230302198311014417</t>
        </is>
      </c>
      <c r="H25" s="548">
        <f>TEXT(MID(G25,7,8),"0000-00-00")</f>
        <v/>
      </c>
      <c r="I25" s="95">
        <f>CHOOSE(MONTH($H25),1,1,1,2,2,2,3,3,3,4,4,4)</f>
        <v/>
      </c>
    </row>
    <row r="26" customFormat="1" s="532">
      <c r="A26" s="95" t="n">
        <v>25</v>
      </c>
      <c r="B26" s="636" t="inlineStr">
        <is>
          <t>梁昕悦</t>
        </is>
      </c>
      <c r="C26" s="636" t="inlineStr">
        <is>
          <t>女</t>
        </is>
      </c>
      <c r="D26" s="637" t="inlineStr">
        <is>
          <t>人力行政专员</t>
        </is>
      </c>
      <c r="E26" s="548" t="n">
        <v>45477</v>
      </c>
      <c r="F26" s="636" t="inlineStr">
        <is>
          <t>深圳</t>
        </is>
      </c>
      <c r="G26" s="523" t="inlineStr">
        <is>
          <t>612301199701010025</t>
        </is>
      </c>
      <c r="H26" s="548">
        <f>TEXT(MID(G26,7,8),"0000-00-00")</f>
        <v/>
      </c>
      <c r="I26" s="95">
        <f>CHOOSE(MONTH($H26),1,1,1,2,2,2,3,3,3,4,4,4)</f>
        <v/>
      </c>
    </row>
    <row r="27" customFormat="1" s="532">
      <c r="A27" s="95" t="n">
        <v>26</v>
      </c>
      <c r="B27" s="636" t="inlineStr">
        <is>
          <t>权怀振</t>
        </is>
      </c>
      <c r="C27" s="636" t="inlineStr">
        <is>
          <t>男</t>
        </is>
      </c>
      <c r="D27" s="637" t="inlineStr">
        <is>
          <t>自动驾驶芯片Linux软件开发</t>
        </is>
      </c>
      <c r="E27" s="548" t="n">
        <v>45488</v>
      </c>
      <c r="F27" s="636" t="inlineStr">
        <is>
          <t>重庆</t>
        </is>
      </c>
      <c r="G27" s="95" t="inlineStr">
        <is>
          <t>34222219880223581X</t>
        </is>
      </c>
      <c r="H27" s="548">
        <f>TEXT(MID(G27,7,8),"0000-00-00")</f>
        <v/>
      </c>
      <c r="I27" s="95">
        <f>CHOOSE(MONTH($H27),1,1,1,2,2,2,3,3,3,4,4,4)</f>
        <v/>
      </c>
    </row>
    <row r="28" customFormat="1" s="532">
      <c r="A28" s="95" t="n">
        <v>27</v>
      </c>
      <c r="B28" s="636" t="inlineStr">
        <is>
          <t>项坤</t>
        </is>
      </c>
      <c r="C28" s="638" t="inlineStr">
        <is>
          <t>男</t>
        </is>
      </c>
      <c r="D28" s="637" t="inlineStr">
        <is>
          <t>自动驾驶集成测试工程师</t>
        </is>
      </c>
      <c r="E28" s="548" t="n">
        <v>45495</v>
      </c>
      <c r="F28" s="636" t="inlineStr">
        <is>
          <t>北京</t>
        </is>
      </c>
      <c r="G28" s="523" t="inlineStr">
        <is>
          <t>421181199308059118</t>
        </is>
      </c>
      <c r="H28" s="548">
        <f>TEXT(MID(G28,7,8),"0000-00-00")</f>
        <v/>
      </c>
      <c r="I28" s="95">
        <f>CHOOSE(MONTH($H28),1,1,1,2,2,2,3,3,3,4,4,4)</f>
        <v/>
      </c>
    </row>
    <row r="29" customFormat="1" s="639">
      <c r="A29" s="95" t="n">
        <v>28</v>
      </c>
      <c r="B29" s="636" t="inlineStr">
        <is>
          <t>郑翔</t>
        </is>
      </c>
      <c r="C29" s="638" t="inlineStr">
        <is>
          <t>男</t>
        </is>
      </c>
      <c r="D29" s="637" t="inlineStr">
        <is>
          <t>测试开发工程师</t>
        </is>
      </c>
      <c r="E29" s="548" t="inlineStr">
        <is>
          <t>2024/8/5入职
确定8月5日</t>
        </is>
      </c>
      <c r="F29" s="636" t="inlineStr">
        <is>
          <t>南京</t>
        </is>
      </c>
      <c r="G29" s="523" t="inlineStr">
        <is>
          <t>340123199607111911</t>
        </is>
      </c>
      <c r="H29" s="548">
        <f>TEXT(MID(G29,7,8),"0000-00-00")</f>
        <v/>
      </c>
      <c r="I29" s="95">
        <f>CHOOSE(MONTH($H29),1,1,1,2,2,2,3,3,3,4,4,4)</f>
        <v/>
      </c>
    </row>
    <row r="30" customFormat="1" s="639">
      <c r="A30" s="95" t="n">
        <v>29</v>
      </c>
      <c r="B30" s="636" t="inlineStr">
        <is>
          <t>边广飞</t>
        </is>
      </c>
      <c r="C30" s="638" t="inlineStr">
        <is>
          <t>男</t>
        </is>
      </c>
      <c r="D30" s="637" t="inlineStr">
        <is>
          <t>智能驾驶整车改装工程师</t>
        </is>
      </c>
      <c r="E30" s="548" t="n">
        <v>45516</v>
      </c>
      <c r="F30" s="636" t="inlineStr">
        <is>
          <t>上海</t>
        </is>
      </c>
      <c r="G30" s="523" t="inlineStr">
        <is>
          <t>372928198808281077</t>
        </is>
      </c>
      <c r="H30" s="548">
        <f>TEXT(MID(G30,7,8),"0000-00-00")</f>
        <v/>
      </c>
      <c r="I30" s="95">
        <f>CHOOSE(MONTH($H30),1,1,1,2,2,2,3,3,3,4,4,4)</f>
        <v/>
      </c>
    </row>
    <row r="31" customFormat="1" s="532">
      <c r="A31" s="95" t="n">
        <v>30</v>
      </c>
      <c r="B31" s="636" t="inlineStr">
        <is>
          <t>魏晨旭</t>
        </is>
      </c>
      <c r="C31" s="638" t="inlineStr">
        <is>
          <t>男</t>
        </is>
      </c>
      <c r="D31" s="637" t="inlineStr">
        <is>
          <t>AI系统芯片软件开发工程师</t>
        </is>
      </c>
      <c r="E31" s="548" t="n">
        <v>45530</v>
      </c>
      <c r="F31" s="636" t="inlineStr">
        <is>
          <t>北京</t>
        </is>
      </c>
      <c r="G31" s="523" t="inlineStr">
        <is>
          <t>131122199306092855</t>
        </is>
      </c>
      <c r="H31" s="548">
        <f>TEXT(MID(G31,7,8),"0000-00-00")</f>
        <v/>
      </c>
      <c r="I31" s="95">
        <f>CHOOSE(MONTH($H31),1,1,1,2,2,2,3,3,3,4,4,4)</f>
        <v/>
      </c>
    </row>
    <row r="32" customFormat="1" s="532">
      <c r="A32" s="95" t="n">
        <v>31</v>
      </c>
      <c r="B32" s="636" t="inlineStr">
        <is>
          <t>李东辉</t>
        </is>
      </c>
      <c r="C32" s="638" t="inlineStr">
        <is>
          <t>男</t>
        </is>
      </c>
      <c r="D32" s="637" t="inlineStr">
        <is>
          <t xml:space="preserve"> C++软件开发工程师</t>
        </is>
      </c>
      <c r="E32" s="548" t="n">
        <v>45530</v>
      </c>
      <c r="F32" s="636" t="inlineStr">
        <is>
          <t>北京</t>
        </is>
      </c>
      <c r="G32" s="523" t="inlineStr">
        <is>
          <t>130625199408291615</t>
        </is>
      </c>
      <c r="H32" s="548">
        <f>TEXT(MID(G32,7,8),"0000-00-00")</f>
        <v/>
      </c>
      <c r="I32" s="95">
        <f>CHOOSE(MONTH($H32),1,1,1,2,2,2,3,3,3,4,4,4)</f>
        <v/>
      </c>
    </row>
    <row r="33" customFormat="1" s="532">
      <c r="A33" s="95" t="n">
        <v>32</v>
      </c>
      <c r="B33" s="636" t="inlineStr">
        <is>
          <t>田洪洋</t>
        </is>
      </c>
      <c r="C33" s="636" t="inlineStr">
        <is>
          <t>男</t>
        </is>
      </c>
      <c r="D33" s="637" t="inlineStr">
        <is>
          <t>手机整机测试</t>
        </is>
      </c>
      <c r="E33" s="548" t="n">
        <v>45544</v>
      </c>
      <c r="F33" s="636" t="inlineStr">
        <is>
          <t>南京</t>
        </is>
      </c>
      <c r="G33" s="523" t="inlineStr">
        <is>
          <t>522601200112200533</t>
        </is>
      </c>
      <c r="H33" s="548">
        <f>TEXT(MID(G33,7,8),"0000-00-00")</f>
        <v/>
      </c>
      <c r="I33" s="95">
        <f>CHOOSE(MONTH($H33),1,1,1,2,2,2,3,3,3,4,4,4)</f>
        <v/>
      </c>
    </row>
    <row r="34" customFormat="1" s="639">
      <c r="A34" s="95" t="n">
        <v>33</v>
      </c>
      <c r="B34" s="636" t="inlineStr">
        <is>
          <t>夏春雷</t>
        </is>
      </c>
      <c r="C34" s="636" t="inlineStr">
        <is>
          <t>男</t>
        </is>
      </c>
      <c r="D34" s="637" t="inlineStr">
        <is>
          <t>golang 后端开发工程师</t>
        </is>
      </c>
      <c r="E34" s="548" t="n">
        <v>45544</v>
      </c>
      <c r="F34" s="636" t="inlineStr">
        <is>
          <t>南京</t>
        </is>
      </c>
      <c r="G34" s="523" t="inlineStr">
        <is>
          <t>321088199604185915</t>
        </is>
      </c>
      <c r="H34" s="548">
        <f>TEXT(MID(G34,7,8),"0000-00-00")</f>
        <v/>
      </c>
      <c r="I34" s="95">
        <f>CHOOSE(MONTH($H34),1,1,1,2,2,2,3,3,3,4,4,4)</f>
        <v/>
      </c>
    </row>
    <row r="35" customFormat="1" s="532">
      <c r="A35" s="95" t="n">
        <v>34</v>
      </c>
      <c r="B35" s="636" t="inlineStr">
        <is>
          <t>仲秀秀</t>
        </is>
      </c>
      <c r="C35" s="636" t="inlineStr">
        <is>
          <t>女</t>
        </is>
      </c>
      <c r="D35" s="637" t="inlineStr">
        <is>
          <t>行政运营</t>
        </is>
      </c>
      <c r="E35" s="548" t="n">
        <v>45546</v>
      </c>
      <c r="F35" s="636" t="inlineStr">
        <is>
          <t>上海</t>
        </is>
      </c>
      <c r="G35" s="523" t="inlineStr">
        <is>
          <t>320721199502015428</t>
        </is>
      </c>
      <c r="H35" s="548">
        <f>TEXT(MID(G35,7,8),"0000-00-00")</f>
        <v/>
      </c>
      <c r="I35" s="95">
        <f>CHOOSE(MONTH($H35),1,1,1,2,2,2,3,3,3,4,4,4)</f>
        <v/>
      </c>
    </row>
    <row r="36" customFormat="1" s="532">
      <c r="A36" s="95" t="n">
        <v>35</v>
      </c>
      <c r="B36" s="636" t="inlineStr">
        <is>
          <t>赵如歌</t>
        </is>
      </c>
      <c r="C36" s="636" t="inlineStr">
        <is>
          <t>男</t>
        </is>
      </c>
      <c r="D36" s="637" t="inlineStr">
        <is>
          <t>嵌入式测试开发工程师</t>
        </is>
      </c>
      <c r="E36" s="548" t="n">
        <v>45553</v>
      </c>
      <c r="F36" s="636" t="inlineStr">
        <is>
          <t>南京</t>
        </is>
      </c>
      <c r="G36" s="523" t="inlineStr">
        <is>
          <t>340222200003300513</t>
        </is>
      </c>
      <c r="H36" s="548">
        <f>TEXT(MID(G36,7,8),"0000-00-00")</f>
        <v/>
      </c>
      <c r="I36" s="95">
        <f>CHOOSE(MONTH($H36),1,1,1,2,2,2,3,3,3,4,4,4)</f>
        <v/>
      </c>
    </row>
    <row r="37" customFormat="1" s="532">
      <c r="A37" s="95" t="n">
        <v>36</v>
      </c>
      <c r="B37" s="636" t="inlineStr">
        <is>
          <t>李法龙</t>
        </is>
      </c>
      <c r="C37" s="636" t="inlineStr">
        <is>
          <t>男</t>
        </is>
      </c>
      <c r="D37" s="637" t="inlineStr">
        <is>
          <t>嵌入式测试开发工程师</t>
        </is>
      </c>
      <c r="E37" s="548" t="n">
        <v>45553</v>
      </c>
      <c r="F37" s="636" t="inlineStr">
        <is>
          <t>南京</t>
        </is>
      </c>
      <c r="G37" s="523" t="inlineStr">
        <is>
          <t>320324199108081619</t>
        </is>
      </c>
      <c r="H37" s="548">
        <f>TEXT(MID(G37,7,8),"0000-00-00")</f>
        <v/>
      </c>
      <c r="I37" s="95">
        <f>CHOOSE(MONTH($H37),1,1,1,2,2,2,3,3,3,4,4,4)</f>
        <v/>
      </c>
    </row>
    <row r="38" customFormat="1" s="532">
      <c r="A38" s="95" t="n">
        <v>37</v>
      </c>
      <c r="B38" s="636" t="inlineStr">
        <is>
          <t>石钰霞</t>
        </is>
      </c>
      <c r="C38" s="636" t="inlineStr">
        <is>
          <t>女</t>
        </is>
      </c>
      <c r="D38" s="637" t="inlineStr">
        <is>
          <t>税务专员</t>
        </is>
      </c>
      <c r="E38" s="548" t="inlineStr">
        <is>
          <t>2024/9/18
合同签署9月30日
因为上家离职证明原因</t>
        </is>
      </c>
      <c r="F38" s="636" t="inlineStr">
        <is>
          <t>北京</t>
        </is>
      </c>
      <c r="G38" s="523" t="inlineStr">
        <is>
          <t>140429199704046821</t>
        </is>
      </c>
      <c r="H38" s="548">
        <f>TEXT(MID(G38,7,8),"0000-00-00")</f>
        <v/>
      </c>
      <c r="I38" s="95">
        <f>CHOOSE(MONTH($H38),1,1,1,2,2,2,3,3,3,4,4,4)</f>
        <v/>
      </c>
    </row>
    <row r="39" customFormat="1" s="639">
      <c r="A39" s="95" t="n">
        <v>38</v>
      </c>
      <c r="B39" s="636" t="inlineStr">
        <is>
          <t>胡鳌</t>
        </is>
      </c>
      <c r="C39" s="638" t="inlineStr">
        <is>
          <t>男</t>
        </is>
      </c>
      <c r="D39" s="637" t="inlineStr">
        <is>
          <t>自动驾驶实车系统验证工程师</t>
        </is>
      </c>
      <c r="E39" s="548" t="n">
        <v>45558</v>
      </c>
      <c r="F39" s="636" t="inlineStr">
        <is>
          <t>上海</t>
        </is>
      </c>
      <c r="G39" s="523" t="inlineStr">
        <is>
          <t>422802199612206075</t>
        </is>
      </c>
      <c r="H39" s="548">
        <f>TEXT(MID(G39,7,8),"0000-00-00")</f>
        <v/>
      </c>
      <c r="I39" s="95">
        <f>CHOOSE(MONTH($H39),1,1,1,2,2,2,3,3,3,4,4,4)</f>
        <v/>
      </c>
    </row>
    <row r="40" customFormat="1" s="532">
      <c r="A40" s="95" t="n">
        <v>39</v>
      </c>
      <c r="B40" s="636" t="inlineStr">
        <is>
          <t>仲伟巍</t>
        </is>
      </c>
      <c r="C40" s="636" t="inlineStr">
        <is>
          <t>男</t>
        </is>
      </c>
      <c r="D40" s="637" t="inlineStr">
        <is>
          <t>智能驾驶车辆改装工程师</t>
        </is>
      </c>
      <c r="E40" s="548" t="inlineStr">
        <is>
          <t>2024/10./16</t>
        </is>
      </c>
      <c r="F40" s="636" t="inlineStr">
        <is>
          <t>上海</t>
        </is>
      </c>
      <c r="G40" s="523" t="inlineStr">
        <is>
          <t>320721199305214655</t>
        </is>
      </c>
      <c r="H40" s="548">
        <f>TEXT(MID(G40,7,8),"0000-00-00")</f>
        <v/>
      </c>
      <c r="I40" s="95">
        <f>CHOOSE(MONTH($H40),1,1,1,2,2,2,3,3,3,4,4,4)</f>
        <v/>
      </c>
    </row>
    <row r="41" customFormat="1" s="639">
      <c r="A41" s="95" t="n">
        <v>40</v>
      </c>
      <c r="B41" s="636" t="inlineStr">
        <is>
          <t>李鹏辉</t>
        </is>
      </c>
      <c r="C41" s="638" t="inlineStr">
        <is>
          <t>男</t>
        </is>
      </c>
      <c r="D41" s="637" t="inlineStr">
        <is>
          <t>智能驾驶实车系统验证工程师</t>
        </is>
      </c>
      <c r="E41" s="548" t="n">
        <v>45588</v>
      </c>
      <c r="F41" s="636" t="inlineStr">
        <is>
          <t>北京</t>
        </is>
      </c>
      <c r="G41" s="523" t="inlineStr">
        <is>
          <t>411282199109297033</t>
        </is>
      </c>
      <c r="H41" s="548">
        <f>TEXT(MID(G41,7,8),"0000-00-00")</f>
        <v/>
      </c>
      <c r="I41" s="95">
        <f>CHOOSE(MONTH($H41),1,1,1,2,2,2,3,3,3,4,4,4)</f>
        <v/>
      </c>
    </row>
    <row r="42" customFormat="1" s="639">
      <c r="A42" s="95" t="n">
        <v>41</v>
      </c>
      <c r="B42" s="636" t="inlineStr">
        <is>
          <t>毛楠</t>
        </is>
      </c>
      <c r="C42" s="638" t="inlineStr">
        <is>
          <t>男</t>
        </is>
      </c>
      <c r="D42" s="637" t="inlineStr">
        <is>
          <t>嵌入式测试开发工程师</t>
        </is>
      </c>
      <c r="E42" s="548" t="n">
        <v>45589</v>
      </c>
      <c r="F42" s="636" t="inlineStr">
        <is>
          <t>南京</t>
        </is>
      </c>
      <c r="G42" s="523" t="inlineStr">
        <is>
          <t>140428199108061236</t>
        </is>
      </c>
      <c r="H42" s="548">
        <f>TEXT(MID(G42,7,8),"0000-00-00")</f>
        <v/>
      </c>
      <c r="I42" s="95">
        <f>CHOOSE(MONTH($H42),1,1,1,2,2,2,3,3,3,4,4,4)</f>
        <v/>
      </c>
    </row>
    <row r="43" customFormat="1" s="639">
      <c r="A43" s="95" t="n">
        <v>42</v>
      </c>
      <c r="B43" s="636" t="inlineStr">
        <is>
          <t>龚鹏海</t>
        </is>
      </c>
      <c r="C43" s="638" t="inlineStr">
        <is>
          <t>男</t>
        </is>
      </c>
      <c r="D43" s="637" t="inlineStr">
        <is>
          <t>软件运维工程师</t>
        </is>
      </c>
      <c r="E43" s="548" t="n">
        <v>45593</v>
      </c>
      <c r="F43" s="636" t="inlineStr">
        <is>
          <t>南京</t>
        </is>
      </c>
      <c r="G43" s="523" t="inlineStr">
        <is>
          <t>411626200211260436</t>
        </is>
      </c>
      <c r="H43" s="548">
        <f>TEXT(MID(G43,7,8),"0000-00-00")</f>
        <v/>
      </c>
      <c r="I43" s="95">
        <f>CHOOSE(MONTH($H43),1,1,1,2,2,2,3,3,3,4,4,4)</f>
        <v/>
      </c>
    </row>
    <row r="44" customFormat="1" s="639">
      <c r="A44" s="95" t="n">
        <v>43</v>
      </c>
      <c r="B44" s="636" t="inlineStr">
        <is>
          <t>康宏菲</t>
        </is>
      </c>
      <c r="C44" s="638" t="inlineStr">
        <is>
          <t>男</t>
        </is>
      </c>
      <c r="D44" s="637" t="inlineStr">
        <is>
          <t>自动驾驶实车系统验证工程师</t>
        </is>
      </c>
      <c r="E44" s="548" t="n">
        <v>45595</v>
      </c>
      <c r="F44" s="636" t="inlineStr">
        <is>
          <t>上海</t>
        </is>
      </c>
      <c r="G44" s="523" t="inlineStr">
        <is>
          <t>410329199110053717</t>
        </is>
      </c>
      <c r="H44" s="548">
        <f>TEXT(MID(G44,7,8),"0000-00-00")</f>
        <v/>
      </c>
      <c r="I44" s="95">
        <f>CHOOSE(MONTH($H44),1,1,1,2,2,2,3,3,3,4,4,4)</f>
        <v/>
      </c>
    </row>
    <row r="45" customFormat="1" s="532">
      <c r="A45" s="95" t="n">
        <v>44</v>
      </c>
      <c r="B45" s="636" t="inlineStr">
        <is>
          <t>张明月</t>
        </is>
      </c>
      <c r="C45" s="636" t="inlineStr">
        <is>
          <t>女</t>
        </is>
      </c>
      <c r="D45" s="637" t="inlineStr">
        <is>
          <t>嵌入式测试开发工程师</t>
        </is>
      </c>
      <c r="E45" s="548" t="inlineStr">
        <is>
          <t>2024年11月4号</t>
        </is>
      </c>
      <c r="F45" s="636" t="inlineStr">
        <is>
          <t>北京</t>
        </is>
      </c>
      <c r="G45" s="523" t="inlineStr">
        <is>
          <t>120225199208072529</t>
        </is>
      </c>
      <c r="H45" s="548">
        <f>TEXT(MID(G45,7,8),"0000-00-00")</f>
        <v/>
      </c>
      <c r="I45" s="95">
        <f>CHOOSE(MONTH($H45),1,1,1,2,2,2,3,3,3,4,4,4)</f>
        <v/>
      </c>
    </row>
    <row r="46" customFormat="1" s="532">
      <c r="A46" s="95" t="n">
        <v>45</v>
      </c>
      <c r="B46" s="636" t="inlineStr">
        <is>
          <t>张帅</t>
        </is>
      </c>
      <c r="C46" s="636" t="inlineStr">
        <is>
          <t>男</t>
        </is>
      </c>
      <c r="D46" s="637" t="inlineStr">
        <is>
          <t>采集质检专员</t>
        </is>
      </c>
      <c r="E46" s="548" t="inlineStr">
        <is>
          <t>2024年11月11号</t>
        </is>
      </c>
      <c r="F46" s="636" t="inlineStr">
        <is>
          <t>北京</t>
        </is>
      </c>
      <c r="G46" s="523" t="inlineStr">
        <is>
          <t>110226199703311413</t>
        </is>
      </c>
      <c r="H46" s="548">
        <f>TEXT(MID(G46,7,8),"0000-00-00")</f>
        <v/>
      </c>
      <c r="I46" s="95">
        <f>CHOOSE(MONTH($H46),1,1,1,2,2,2,3,3,3,4,4,4)</f>
        <v/>
      </c>
    </row>
    <row r="47" customFormat="1" s="639">
      <c r="A47" s="95" t="n">
        <v>46</v>
      </c>
      <c r="B47" s="636" t="inlineStr">
        <is>
          <t>杨永成</t>
        </is>
      </c>
      <c r="C47" s="638" t="inlineStr">
        <is>
          <t>男</t>
        </is>
      </c>
      <c r="D47" s="637" t="inlineStr">
        <is>
          <t>自动驾驶实车
系统验证工程师</t>
        </is>
      </c>
      <c r="E47" s="548" t="n">
        <v>45609</v>
      </c>
      <c r="F47" s="636" t="inlineStr">
        <is>
          <t>上海</t>
        </is>
      </c>
      <c r="G47" s="95" t="inlineStr">
        <is>
          <t>34040419980630043X</t>
        </is>
      </c>
      <c r="H47" s="548">
        <f>TEXT(MID(G47,7,8),"0000-00-00")</f>
        <v/>
      </c>
      <c r="I47" s="95">
        <f>CHOOSE(MONTH($H47),1,1,1,2,2,2,3,3,3,4,4,4)</f>
        <v/>
      </c>
    </row>
    <row r="48" customFormat="1" s="532">
      <c r="A48" s="95" t="n">
        <v>47</v>
      </c>
      <c r="B48" s="636" t="inlineStr">
        <is>
          <t>潘自强</t>
        </is>
      </c>
      <c r="C48" s="636" t="inlineStr">
        <is>
          <t>男</t>
        </is>
      </c>
      <c r="D48" s="637" t="inlineStr">
        <is>
          <t>嵌入式测试开发工程师</t>
        </is>
      </c>
      <c r="E48" s="548" t="inlineStr">
        <is>
          <t>2024年11月18号</t>
        </is>
      </c>
      <c r="F48" s="636" t="inlineStr">
        <is>
          <t>杭州</t>
        </is>
      </c>
      <c r="G48" s="523" t="inlineStr">
        <is>
          <t>331021199607251253</t>
        </is>
      </c>
      <c r="H48" s="548">
        <f>TEXT(MID(G48,7,8),"0000-00-00")</f>
        <v/>
      </c>
      <c r="I48" s="95">
        <f>CHOOSE(MONTH($H48),1,1,1,2,2,2,3,3,3,4,4,4)</f>
        <v/>
      </c>
    </row>
    <row r="49" customFormat="1" s="639">
      <c r="A49" s="95" t="n">
        <v>48</v>
      </c>
      <c r="B49" s="636" t="inlineStr">
        <is>
          <t>徐祥</t>
        </is>
      </c>
      <c r="C49" s="638" t="inlineStr">
        <is>
          <t>男</t>
        </is>
      </c>
      <c r="D49" s="637" t="inlineStr">
        <is>
          <t>自动驾驶实车系统验证工程师</t>
        </is>
      </c>
      <c r="E49" s="548" t="n">
        <v>45614</v>
      </c>
      <c r="F49" s="636" t="inlineStr">
        <is>
          <t>上海</t>
        </is>
      </c>
      <c r="G49" s="95" t="inlineStr">
        <is>
          <t>34262219920202795X</t>
        </is>
      </c>
      <c r="H49" s="548">
        <f>TEXT(MID(G49,7,8),"0000-00-00")</f>
        <v/>
      </c>
      <c r="I49" s="95">
        <f>CHOOSE(MONTH($H49),1,1,1,2,2,2,3,3,3,4,4,4)</f>
        <v/>
      </c>
    </row>
    <row r="50" customFormat="1" s="80">
      <c r="A50" s="95" t="n">
        <v>49</v>
      </c>
      <c r="B50" s="636" t="inlineStr">
        <is>
          <t>袁剑</t>
        </is>
      </c>
      <c r="C50" s="94" t="inlineStr">
        <is>
          <t>男</t>
        </is>
      </c>
      <c r="D50" s="637" t="inlineStr">
        <is>
          <t>智能驾驶整车改装工程师</t>
        </is>
      </c>
      <c r="E50" s="548" t="n">
        <v>45621</v>
      </c>
      <c r="F50" s="636" t="inlineStr">
        <is>
          <t>上海</t>
        </is>
      </c>
      <c r="G50" s="523" t="inlineStr">
        <is>
          <t>321323198512301273</t>
        </is>
      </c>
      <c r="H50" s="548">
        <f>TEXT(MID(G50,7,8),"0000-00-00")</f>
        <v/>
      </c>
      <c r="I50" s="95">
        <f>CHOOSE(MONTH($H50),1,1,1,2,2,2,3,3,3,4,4,4)</f>
        <v/>
      </c>
    </row>
    <row r="51" customFormat="1" s="80">
      <c r="A51" s="95" t="n">
        <v>50</v>
      </c>
      <c r="B51" s="636" t="inlineStr">
        <is>
          <t>王超</t>
        </is>
      </c>
      <c r="C51" s="94" t="inlineStr">
        <is>
          <t>男</t>
        </is>
      </c>
      <c r="D51" s="637" t="inlineStr">
        <is>
          <t>智能驾驶标定工程师</t>
        </is>
      </c>
      <c r="E51" s="548" t="n">
        <v>45623</v>
      </c>
      <c r="F51" s="636" t="inlineStr">
        <is>
          <t>上海</t>
        </is>
      </c>
      <c r="G51" s="523" t="inlineStr">
        <is>
          <t>220722199404093214</t>
        </is>
      </c>
      <c r="H51" s="548">
        <f>TEXT(MID(G51,7,8),"0000-00-00")</f>
        <v/>
      </c>
      <c r="I51" s="95">
        <f>CHOOSE(MONTH($H51),1,1,1,2,2,2,3,3,3,4,4,4)</f>
        <v/>
      </c>
    </row>
    <row r="52" customFormat="1" s="82">
      <c r="A52" s="95" t="n">
        <v>51</v>
      </c>
      <c r="B52" s="636" t="inlineStr">
        <is>
          <t>郭刚</t>
        </is>
      </c>
      <c r="C52" s="95" t="inlineStr">
        <is>
          <t>男</t>
        </is>
      </c>
      <c r="D52" s="637" t="inlineStr">
        <is>
          <t>智能驾驶整车改装工程师</t>
        </is>
      </c>
      <c r="E52" s="548" t="inlineStr">
        <is>
          <t>2024年12月02号</t>
        </is>
      </c>
      <c r="F52" s="636" t="inlineStr">
        <is>
          <t>北京</t>
        </is>
      </c>
      <c r="G52" s="523" t="inlineStr">
        <is>
          <t>130225198909293313</t>
        </is>
      </c>
      <c r="H52" s="548">
        <f>TEXT(MID(G52,7,8),"0000-00-00")</f>
        <v/>
      </c>
      <c r="I52" s="95">
        <f>CHOOSE(MONTH($H52),1,1,1,2,2,2,3,3,3,4,4,4)</f>
        <v/>
      </c>
    </row>
    <row r="53" customFormat="1" s="82">
      <c r="A53" s="95" t="n">
        <v>52</v>
      </c>
      <c r="B53" s="636" t="inlineStr">
        <is>
          <t>侯万峰</t>
        </is>
      </c>
      <c r="C53" s="95" t="inlineStr">
        <is>
          <t>男</t>
        </is>
      </c>
      <c r="D53" s="637" t="inlineStr">
        <is>
          <t>自动驾驶实车测试</t>
        </is>
      </c>
      <c r="E53" s="548" t="inlineStr">
        <is>
          <t>2024年12月02号</t>
        </is>
      </c>
      <c r="F53" s="636" t="inlineStr">
        <is>
          <t>上海</t>
        </is>
      </c>
      <c r="G53" s="523" t="inlineStr">
        <is>
          <t>411522200202154518</t>
        </is>
      </c>
      <c r="H53" s="548">
        <f>TEXT(MID(G53,7,8),"0000-00-00")</f>
        <v/>
      </c>
      <c r="I53" s="95">
        <f>CHOOSE(MONTH($H53),1,1,1,2,2,2,3,3,3,4,4,4)</f>
        <v/>
      </c>
    </row>
    <row r="54" customFormat="1" s="80">
      <c r="A54" s="95" t="n">
        <v>53</v>
      </c>
      <c r="B54" s="636" t="inlineStr">
        <is>
          <t>韩乐</t>
        </is>
      </c>
      <c r="C54" s="94" t="inlineStr">
        <is>
          <t>男</t>
        </is>
      </c>
      <c r="D54" s="637" t="inlineStr">
        <is>
          <t>智能驾驶整车改装工程师</t>
        </is>
      </c>
      <c r="E54" s="548" t="n">
        <v>45628</v>
      </c>
      <c r="F54" s="636" t="inlineStr">
        <is>
          <t>北京</t>
        </is>
      </c>
      <c r="G54" s="523" t="inlineStr">
        <is>
          <t>410521199201010739</t>
        </is>
      </c>
      <c r="H54" s="548">
        <f>TEXT(MID(G54,7,8),"0000-00-00")</f>
        <v/>
      </c>
      <c r="I54" s="95">
        <f>CHOOSE(MONTH($H54),1,1,1,2,2,2,3,3,3,4,4,4)</f>
        <v/>
      </c>
    </row>
    <row r="55" customFormat="1" s="80">
      <c r="A55" s="95" t="n">
        <v>54</v>
      </c>
      <c r="B55" s="636" t="inlineStr">
        <is>
          <t>胡金鑫</t>
        </is>
      </c>
      <c r="C55" s="94" t="inlineStr">
        <is>
          <t>男</t>
        </is>
      </c>
      <c r="D55" s="637" t="inlineStr">
        <is>
          <t>中间件研发工程师</t>
        </is>
      </c>
      <c r="E55" s="548" t="n">
        <v>45628</v>
      </c>
      <c r="F55" s="636" t="inlineStr">
        <is>
          <t>北京</t>
        </is>
      </c>
      <c r="G55" s="523" t="inlineStr">
        <is>
          <t>230606199705025617</t>
        </is>
      </c>
      <c r="H55" s="548">
        <f>TEXT(MID(G55,7,8),"0000-00-00")</f>
        <v/>
      </c>
      <c r="I55" s="95">
        <f>CHOOSE(MONTH($H55),1,1,1,2,2,2,3,3,3,4,4,4)</f>
        <v/>
      </c>
    </row>
    <row r="56" customFormat="1" s="80">
      <c r="A56" s="95" t="n">
        <v>55</v>
      </c>
      <c r="B56" s="636" t="inlineStr">
        <is>
          <t>宋峰</t>
        </is>
      </c>
      <c r="C56" s="94" t="inlineStr">
        <is>
          <t>男</t>
        </is>
      </c>
      <c r="D56" s="637" t="inlineStr">
        <is>
          <t>自动驾驶实车系统验证工程师</t>
        </is>
      </c>
      <c r="E56" s="548" t="n">
        <v>45630</v>
      </c>
      <c r="F56" s="636" t="inlineStr">
        <is>
          <t>上海</t>
        </is>
      </c>
      <c r="G56" s="523" t="inlineStr">
        <is>
          <t>320324199208044196</t>
        </is>
      </c>
      <c r="H56" s="548">
        <f>TEXT(MID(G56,7,8),"0000-00-00")</f>
        <v/>
      </c>
      <c r="I56" s="95">
        <f>CHOOSE(MONTH($H56),1,1,1,2,2,2,3,3,3,4,4,4)</f>
        <v/>
      </c>
    </row>
    <row r="57" customFormat="1" s="80">
      <c r="A57" s="95" t="n">
        <v>56</v>
      </c>
      <c r="B57" s="636" t="inlineStr">
        <is>
          <t>王哲</t>
        </is>
      </c>
      <c r="C57" s="94" t="inlineStr">
        <is>
          <t>男</t>
        </is>
      </c>
      <c r="D57" s="637" t="inlineStr">
        <is>
          <t>智能驾驶整车改装工程师</t>
        </is>
      </c>
      <c r="E57" s="548" t="n">
        <v>45642</v>
      </c>
      <c r="F57" s="636" t="inlineStr">
        <is>
          <t>北京</t>
        </is>
      </c>
      <c r="G57" s="95" t="inlineStr">
        <is>
          <t>13082519901125311X</t>
        </is>
      </c>
      <c r="H57" s="548">
        <f>TEXT(MID(G57,7,8),"0000-00-00")</f>
        <v/>
      </c>
      <c r="I57" s="95">
        <f>CHOOSE(MONTH($H57),1,1,1,2,2,2,3,3,3,4,4,4)</f>
        <v/>
      </c>
    </row>
    <row r="58" customFormat="1" s="80">
      <c r="A58" s="95" t="n">
        <v>57</v>
      </c>
      <c r="B58" s="636" t="inlineStr">
        <is>
          <t>马朝阳</t>
        </is>
      </c>
      <c r="C58" s="94" t="inlineStr">
        <is>
          <t>男</t>
        </is>
      </c>
      <c r="D58" s="637" t="inlineStr">
        <is>
          <t>自动驾驶实车系统验证工程师</t>
        </is>
      </c>
      <c r="E58" s="548" t="n">
        <v>45642</v>
      </c>
      <c r="F58" s="636" t="inlineStr">
        <is>
          <t>上海</t>
        </is>
      </c>
      <c r="G58" s="95" t="inlineStr">
        <is>
          <t>41032219911120835X</t>
        </is>
      </c>
      <c r="H58" s="548">
        <f>TEXT(MID(G58,7,8),"0000-00-00")</f>
        <v/>
      </c>
      <c r="I58" s="95">
        <f>CHOOSE(MONTH($H58),1,1,1,2,2,2,3,3,3,4,4,4)</f>
        <v/>
      </c>
    </row>
    <row r="59" customFormat="1" s="80">
      <c r="A59" s="95" t="n">
        <v>58</v>
      </c>
      <c r="B59" s="636" t="inlineStr">
        <is>
          <t>汪虎龙</t>
        </is>
      </c>
      <c r="C59" s="94" t="inlineStr">
        <is>
          <t>男</t>
        </is>
      </c>
      <c r="D59" s="637" t="inlineStr">
        <is>
          <t>智能驾驶整车改装工程师</t>
        </is>
      </c>
      <c r="E59" s="548" t="n">
        <v>45642</v>
      </c>
      <c r="F59" s="636" t="inlineStr">
        <is>
          <t>上海</t>
        </is>
      </c>
      <c r="G59" s="523" t="inlineStr">
        <is>
          <t>342423198412174596</t>
        </is>
      </c>
      <c r="H59" s="548">
        <f>TEXT(MID(G59,7,8),"0000-00-00")</f>
        <v/>
      </c>
      <c r="I59" s="95">
        <f>CHOOSE(MONTH($H59),1,1,1,2,2,2,3,3,3,4,4,4)</f>
        <v/>
      </c>
    </row>
    <row r="60" customFormat="1" s="80">
      <c r="A60" s="95" t="n">
        <v>59</v>
      </c>
      <c r="B60" s="636" t="inlineStr">
        <is>
          <t>胡远征</t>
        </is>
      </c>
      <c r="C60" s="94" t="inlineStr">
        <is>
          <t>男</t>
        </is>
      </c>
      <c r="D60" s="637" t="inlineStr">
        <is>
          <t>智能驾驶整车改装工程师</t>
        </is>
      </c>
      <c r="E60" s="548" t="n">
        <v>45644</v>
      </c>
      <c r="F60" s="636" t="inlineStr">
        <is>
          <t>上海</t>
        </is>
      </c>
      <c r="G60" s="523" t="inlineStr">
        <is>
          <t>511381198910215417</t>
        </is>
      </c>
      <c r="H60" s="548">
        <f>TEXT(MID(G60,7,8),"0000-00-00")</f>
        <v/>
      </c>
      <c r="I60" s="95">
        <f>CHOOSE(MONTH($H60),1,1,1,2,2,2,3,3,3,4,4,4)</f>
        <v/>
      </c>
    </row>
    <row r="61" customFormat="1" s="80">
      <c r="A61" s="95" t="n">
        <v>60</v>
      </c>
      <c r="B61" s="636" t="inlineStr">
        <is>
          <t>邵明孝</t>
        </is>
      </c>
      <c r="C61" s="94" t="inlineStr">
        <is>
          <t>男</t>
        </is>
      </c>
      <c r="D61" s="637" t="inlineStr">
        <is>
          <t>智能驾驶整车改装工程师</t>
        </is>
      </c>
      <c r="E61" s="548" t="n">
        <v>45644</v>
      </c>
      <c r="F61" s="636" t="inlineStr">
        <is>
          <t>上海</t>
        </is>
      </c>
      <c r="G61" s="523" t="inlineStr">
        <is>
          <t>532122200203011814</t>
        </is>
      </c>
      <c r="H61" s="548">
        <f>TEXT(MID(G61,7,8),"0000-00-00")</f>
        <v/>
      </c>
      <c r="I61" s="95">
        <f>CHOOSE(MONTH($H61),1,1,1,2,2,2,3,3,3,4,4,4)</f>
        <v/>
      </c>
    </row>
    <row r="62" customFormat="1" s="80">
      <c r="A62" s="95" t="n">
        <v>61</v>
      </c>
      <c r="B62" s="636" t="inlineStr">
        <is>
          <t>朱昭宇</t>
        </is>
      </c>
      <c r="C62" s="94" t="inlineStr">
        <is>
          <t>男</t>
        </is>
      </c>
      <c r="D62" s="637" t="inlineStr">
        <is>
          <t>自动驾驶实车系统验证工程师</t>
        </is>
      </c>
      <c r="E62" s="548" t="n">
        <v>45649</v>
      </c>
      <c r="F62" s="636" t="inlineStr">
        <is>
          <t>南京</t>
        </is>
      </c>
      <c r="G62" s="523" t="inlineStr">
        <is>
          <t>430424199812167214</t>
        </is>
      </c>
      <c r="H62" s="548">
        <f>TEXT(MID(G62,7,8),"0000-00-00")</f>
        <v/>
      </c>
      <c r="I62" s="95">
        <f>CHOOSE(MONTH($H62),1,1,1,2,2,2,3,3,3,4,4,4)</f>
        <v/>
      </c>
    </row>
    <row r="63" customFormat="1" s="80">
      <c r="A63" s="95" t="n">
        <v>62</v>
      </c>
      <c r="B63" s="636" t="inlineStr">
        <is>
          <t xml:space="preserve">余盛波         </t>
        </is>
      </c>
      <c r="C63" s="94" t="inlineStr">
        <is>
          <t>男</t>
        </is>
      </c>
      <c r="D63" s="637" t="inlineStr">
        <is>
          <t>智能驾驶整车改装工程师</t>
        </is>
      </c>
      <c r="E63" s="548" t="n">
        <v>45649</v>
      </c>
      <c r="F63" s="636" t="inlineStr">
        <is>
          <t>上海</t>
        </is>
      </c>
      <c r="G63" s="523" t="inlineStr">
        <is>
          <t>421124198905252010</t>
        </is>
      </c>
      <c r="H63" s="548">
        <f>TEXT(MID(G63,7,8),"0000-00-00")</f>
        <v/>
      </c>
      <c r="I63" s="95">
        <f>CHOOSE(MONTH($H63),1,1,1,2,2,2,3,3,3,4,4,4)</f>
        <v/>
      </c>
    </row>
    <row r="64" customFormat="1" s="80">
      <c r="A64" s="95" t="n">
        <v>63</v>
      </c>
      <c r="B64" s="636" t="inlineStr">
        <is>
          <t>张阳</t>
        </is>
      </c>
      <c r="C64" s="94" t="inlineStr">
        <is>
          <t>男</t>
        </is>
      </c>
      <c r="D64" s="637" t="inlineStr">
        <is>
          <t>功能FAE</t>
        </is>
      </c>
      <c r="E64" s="548" t="n">
        <v>45651</v>
      </c>
      <c r="F64" s="636" t="inlineStr">
        <is>
          <t>重庆</t>
        </is>
      </c>
      <c r="G64" s="523" t="inlineStr">
        <is>
          <t>511028199901106370</t>
        </is>
      </c>
      <c r="H64" s="548">
        <f>TEXT(MID(G64,7,8),"0000-00-00")</f>
        <v/>
      </c>
      <c r="I64" s="95">
        <f>CHOOSE(MONTH($H64),1,1,1,2,2,2,3,3,3,4,4,4)</f>
        <v/>
      </c>
    </row>
    <row r="65" customFormat="1" s="80">
      <c r="A65" s="95" t="n">
        <v>64</v>
      </c>
      <c r="B65" s="636" t="inlineStr">
        <is>
          <t>明坤</t>
        </is>
      </c>
      <c r="C65" s="94" t="inlineStr">
        <is>
          <t>男</t>
        </is>
      </c>
      <c r="D65" s="637" t="inlineStr">
        <is>
          <t>智能驾驶整车改装工程师</t>
        </is>
      </c>
      <c r="E65" s="548" t="n">
        <v>45656</v>
      </c>
      <c r="F65" s="636" t="inlineStr">
        <is>
          <t>上海</t>
        </is>
      </c>
      <c r="G65" s="523" t="inlineStr">
        <is>
          <t>420222199803293758</t>
        </is>
      </c>
      <c r="H65" s="548">
        <f>TEXT(MID(G65,7,8),"0000-00-00")</f>
        <v/>
      </c>
      <c r="I65" s="95">
        <f>CHOOSE(MONTH($H65),1,1,1,2,2,2,3,3,3,4,4,4)</f>
        <v/>
      </c>
    </row>
    <row r="66" customFormat="1" s="80">
      <c r="A66" s="95" t="n">
        <v>65</v>
      </c>
      <c r="B66" s="636" t="inlineStr">
        <is>
          <t>冉宗敬</t>
        </is>
      </c>
      <c r="C66" s="94" t="inlineStr">
        <is>
          <t>女</t>
        </is>
      </c>
      <c r="D66" s="637" t="inlineStr">
        <is>
          <t>功能FAE</t>
        </is>
      </c>
      <c r="E66" s="548" t="n">
        <v>45656</v>
      </c>
      <c r="F66" s="636" t="inlineStr">
        <is>
          <t>重庆</t>
        </is>
      </c>
      <c r="G66" s="523" t="inlineStr">
        <is>
          <t>500229200108063520</t>
        </is>
      </c>
      <c r="H66" s="548">
        <f>TEXT(MID(G66,7,8),"0000-00-00")</f>
        <v/>
      </c>
      <c r="I66" s="95">
        <f>CHOOSE(MONTH($H66),1,1,1,2,2,2,3,3,3,4,4,4)</f>
        <v/>
      </c>
    </row>
    <row r="67" customFormat="1" s="532">
      <c r="A67" s="95" t="n">
        <v>66</v>
      </c>
      <c r="B67" s="636" t="inlineStr">
        <is>
          <t>史勇奇</t>
        </is>
      </c>
      <c r="C67" s="636" t="inlineStr">
        <is>
          <t>男</t>
        </is>
      </c>
      <c r="D67" s="637" t="inlineStr">
        <is>
          <t>智能驾驶整车改装工程师</t>
        </is>
      </c>
      <c r="E67" s="548" t="n">
        <v>45663</v>
      </c>
      <c r="F67" s="636" t="inlineStr">
        <is>
          <t>上海</t>
        </is>
      </c>
      <c r="G67" s="523" t="inlineStr">
        <is>
          <t>412823199904032839</t>
        </is>
      </c>
      <c r="H67" s="548">
        <f>TEXT(MID(G67,7,8),"0000-00-00")</f>
        <v/>
      </c>
      <c r="I67" s="95">
        <f>CHOOSE(MONTH($H67),1,1,1,2,2,2,3,3,3,4,4,4)</f>
        <v/>
      </c>
    </row>
    <row r="68" customFormat="1" s="532">
      <c r="A68" s="95" t="n">
        <v>67</v>
      </c>
      <c r="B68" s="636" t="inlineStr">
        <is>
          <t>刘强</t>
        </is>
      </c>
      <c r="C68" s="636" t="inlineStr">
        <is>
          <t>男</t>
        </is>
      </c>
      <c r="D68" s="637" t="inlineStr">
        <is>
          <t>智能驾驶整车改装工程师</t>
        </is>
      </c>
      <c r="E68" s="548" t="n">
        <v>45663</v>
      </c>
      <c r="F68" s="636" t="inlineStr">
        <is>
          <t>上海</t>
        </is>
      </c>
      <c r="G68" s="523" t="inlineStr">
        <is>
          <t>622424199301233715</t>
        </is>
      </c>
      <c r="H68" s="548">
        <f>TEXT(MID(G68,7,8),"0000-00-00")</f>
        <v/>
      </c>
      <c r="I68" s="95">
        <f>CHOOSE(MONTH($H68),1,1,1,2,2,2,3,3,3,4,4,4)</f>
        <v/>
      </c>
    </row>
    <row r="69" customFormat="1" s="532">
      <c r="A69" s="95" t="n">
        <v>68</v>
      </c>
      <c r="B69" s="636" t="inlineStr">
        <is>
          <t>杨驰</t>
        </is>
      </c>
      <c r="C69" s="636" t="inlineStr">
        <is>
          <t>男</t>
        </is>
      </c>
      <c r="D69" s="637" t="inlineStr">
        <is>
          <t>QNX测试工程师</t>
        </is>
      </c>
      <c r="E69" s="548" t="n">
        <v>45663</v>
      </c>
      <c r="F69" s="636" t="inlineStr">
        <is>
          <t>杭州</t>
        </is>
      </c>
      <c r="G69" s="523" t="inlineStr">
        <is>
          <t>370481199901015619</t>
        </is>
      </c>
      <c r="H69" s="548">
        <f>TEXT(MID(G69,7,8),"0000-00-00")</f>
        <v/>
      </c>
      <c r="I69" s="95">
        <f>CHOOSE(MONTH($H69),1,1,1,2,2,2,3,3,3,4,4,4)</f>
        <v/>
      </c>
    </row>
    <row r="70" customFormat="1" s="532">
      <c r="A70" s="95" t="n">
        <v>69</v>
      </c>
      <c r="B70" s="636" t="inlineStr">
        <is>
          <t>孙颖硕</t>
        </is>
      </c>
      <c r="C70" s="636" t="inlineStr">
        <is>
          <t>男</t>
        </is>
      </c>
      <c r="D70" s="637" t="inlineStr">
        <is>
          <t>智能驾驶整车改装工程师</t>
        </is>
      </c>
      <c r="E70" s="548" t="n">
        <v>45665</v>
      </c>
      <c r="F70" s="636" t="inlineStr">
        <is>
          <t>北京</t>
        </is>
      </c>
      <c r="G70" s="523" t="inlineStr">
        <is>
          <t>110222199411243812</t>
        </is>
      </c>
      <c r="H70" s="548">
        <f>TEXT(MID(G70,7,8),"0000-00-00")</f>
        <v/>
      </c>
      <c r="I70" s="95">
        <f>CHOOSE(MONTH($H70),1,1,1,2,2,2,3,3,3,4,4,4)</f>
        <v/>
      </c>
    </row>
    <row r="71" customFormat="1" s="532">
      <c r="A71" s="95" t="n">
        <v>70</v>
      </c>
      <c r="B71" s="636" t="inlineStr">
        <is>
          <t>黄继宝</t>
        </is>
      </c>
      <c r="C71" s="636" t="inlineStr">
        <is>
          <t>男</t>
        </is>
      </c>
      <c r="D71" s="637" t="inlineStr">
        <is>
          <t>自动驾驶集成测试工程师</t>
        </is>
      </c>
      <c r="E71" s="548" t="n">
        <v>45670</v>
      </c>
      <c r="F71" s="636" t="inlineStr">
        <is>
          <t>上海</t>
        </is>
      </c>
      <c r="G71" s="523" t="inlineStr">
        <is>
          <t>320723199801104052</t>
        </is>
      </c>
      <c r="H71" s="548">
        <f>TEXT(MID(G71,7,8),"0000-00-00")</f>
        <v/>
      </c>
      <c r="I71" s="95">
        <f>CHOOSE(MONTH($H71),1,1,1,2,2,2,3,3,3,4,4,4)</f>
        <v/>
      </c>
    </row>
    <row r="72" customFormat="1" s="532">
      <c r="A72" s="95" t="n">
        <v>71</v>
      </c>
      <c r="B72" s="636" t="inlineStr">
        <is>
          <t>蔡亚茹</t>
        </is>
      </c>
      <c r="C72" s="94" t="inlineStr">
        <is>
          <t>女</t>
        </is>
      </c>
      <c r="D72" s="637" t="inlineStr">
        <is>
          <t>数据验收员</t>
        </is>
      </c>
      <c r="E72" s="548" t="n">
        <v>45672</v>
      </c>
      <c r="F72" s="636" t="inlineStr">
        <is>
          <t>北京</t>
        </is>
      </c>
      <c r="G72" s="523" t="inlineStr">
        <is>
          <t>410225199809124100</t>
        </is>
      </c>
      <c r="H72" s="548">
        <f>TEXT(MID(G72,7,8),"0000-00-00")</f>
        <v/>
      </c>
      <c r="I72" s="95">
        <f>CHOOSE(MONTH($H72),1,1,1,2,2,2,3,3,3,4,4,4)</f>
        <v/>
      </c>
    </row>
    <row r="73" customFormat="1" s="82">
      <c r="A73" s="95" t="n">
        <v>72</v>
      </c>
      <c r="B73" s="636" t="inlineStr">
        <is>
          <t>乔瑞霞</t>
        </is>
      </c>
      <c r="C73" s="95" t="inlineStr">
        <is>
          <t>女</t>
        </is>
      </c>
      <c r="D73" s="637" t="inlineStr">
        <is>
          <t>自动驾驶集成开发工程师</t>
        </is>
      </c>
      <c r="E73" s="548" t="n">
        <v>45677</v>
      </c>
      <c r="F73" s="636" t="inlineStr">
        <is>
          <t>北京</t>
        </is>
      </c>
      <c r="G73" s="523" t="inlineStr">
        <is>
          <t>152634199108151823</t>
        </is>
      </c>
      <c r="H73" s="548">
        <f>TEXT(MID(G73,7,8),"0000-00-00")</f>
        <v/>
      </c>
      <c r="I73" s="95">
        <f>CHOOSE(MONTH($H73),1,1,1,2,2,2,3,3,3,4,4,4)</f>
        <v/>
      </c>
      <c r="J73" s="80" t="n"/>
      <c r="K73" s="80" t="n"/>
      <c r="L73" s="80" t="n"/>
      <c r="M73" s="80" t="n"/>
      <c r="N73" s="80" t="n"/>
      <c r="O73" s="80" t="n"/>
      <c r="P73" s="80" t="n"/>
      <c r="Q73" s="80" t="n"/>
      <c r="R73" s="80" t="n"/>
      <c r="S73" s="80" t="n"/>
      <c r="T73" s="80" t="n"/>
      <c r="U73" s="80" t="n"/>
      <c r="V73" s="80" t="n"/>
      <c r="W73" s="80" t="n"/>
      <c r="X73" s="80" t="n"/>
      <c r="Y73" s="80" t="n"/>
      <c r="Z73" s="80" t="n"/>
      <c r="AA73" s="80" t="n"/>
      <c r="AB73" s="80" t="n"/>
      <c r="AC73" s="80" t="n"/>
      <c r="AD73" s="80" t="n"/>
      <c r="AE73" s="80" t="n"/>
      <c r="AF73" s="80" t="n"/>
      <c r="AG73" s="80" t="n"/>
      <c r="AH73" s="80" t="n"/>
      <c r="AI73" s="80" t="n"/>
      <c r="AJ73" s="80" t="n"/>
      <c r="AK73" s="80" t="n"/>
      <c r="AL73" s="80" t="n"/>
      <c r="AM73" s="80" t="n"/>
      <c r="AN73" s="80" t="n"/>
      <c r="AO73" s="80" t="n"/>
      <c r="AP73" s="80" t="n"/>
      <c r="AQ73" s="80" t="n"/>
      <c r="AR73" s="80" t="n"/>
      <c r="AS73" s="80" t="n"/>
      <c r="AT73" s="80" t="n"/>
      <c r="AU73" s="80" t="n"/>
      <c r="AV73" s="80" t="n"/>
      <c r="AW73" s="80" t="n"/>
      <c r="AX73" s="80" t="n"/>
      <c r="AY73" s="80" t="n"/>
      <c r="AZ73" s="80" t="n"/>
      <c r="BA73" s="80" t="n"/>
      <c r="BB73" s="80" t="n"/>
      <c r="BC73" s="80" t="n"/>
      <c r="BD73" s="80" t="n"/>
      <c r="BE73" s="80" t="n"/>
      <c r="BF73" s="80" t="n"/>
      <c r="BG73" s="80" t="n"/>
      <c r="BH73" s="80" t="n"/>
      <c r="BI73" s="80" t="n"/>
      <c r="BJ73" s="80" t="n"/>
      <c r="BK73" s="80" t="n"/>
      <c r="BL73" s="80" t="n"/>
      <c r="BM73" s="80" t="n"/>
      <c r="BN73" s="80" t="n"/>
      <c r="BO73" s="80" t="n"/>
      <c r="BP73" s="80" t="n"/>
      <c r="BQ73" s="80" t="n"/>
      <c r="BR73" s="80" t="n"/>
      <c r="BS73" s="80" t="n"/>
      <c r="BT73" s="80" t="n"/>
      <c r="BU73" s="80" t="n"/>
      <c r="BV73" s="80" t="n"/>
      <c r="BW73" s="80" t="n"/>
    </row>
    <row r="74" customFormat="1" s="532">
      <c r="A74" s="95" t="n">
        <v>73</v>
      </c>
      <c r="B74" s="636" t="inlineStr">
        <is>
          <t>滕福林</t>
        </is>
      </c>
      <c r="C74" s="95" t="inlineStr">
        <is>
          <t>男</t>
        </is>
      </c>
      <c r="D74" s="637" t="inlineStr">
        <is>
          <t>后端开发工程师</t>
        </is>
      </c>
      <c r="E74" s="548" t="n">
        <v>45311</v>
      </c>
      <c r="F74" s="636" t="inlineStr">
        <is>
          <t>南京</t>
        </is>
      </c>
      <c r="G74" s="523" t="inlineStr">
        <is>
          <t>342626199604104714</t>
        </is>
      </c>
      <c r="H74" s="548">
        <f>TEXT(MID(G74,7,8),"0000-00-00")</f>
        <v/>
      </c>
      <c r="I74" s="95">
        <f>CHOOSE(MONTH($H74),1,1,1,2,2,2,3,3,3,4,4,4)</f>
        <v/>
      </c>
    </row>
    <row r="75" customFormat="1" s="532">
      <c r="A75" s="95" t="n">
        <v>74</v>
      </c>
      <c r="B75" s="636" t="inlineStr">
        <is>
          <t>黄国庆</t>
        </is>
      </c>
      <c r="C75" s="95" t="inlineStr">
        <is>
          <t>男</t>
        </is>
      </c>
      <c r="D75" s="637" t="inlineStr">
        <is>
          <t>自动驾驶集成测试工程师</t>
        </is>
      </c>
      <c r="E75" s="548" t="n">
        <v>45679</v>
      </c>
      <c r="F75" s="636" t="inlineStr">
        <is>
          <t>北京</t>
        </is>
      </c>
      <c r="G75" s="523" t="inlineStr">
        <is>
          <t>411321200005160911</t>
        </is>
      </c>
      <c r="H75" s="548">
        <f>TEXT(MID(G75,7,8),"0000-00-00")</f>
        <v/>
      </c>
      <c r="I75" s="95">
        <f>CHOOSE(MONTH($H75),1,1,1,2,2,2,3,3,3,4,4,4)</f>
        <v/>
      </c>
    </row>
    <row r="76" customFormat="1" s="532">
      <c r="A76" s="95" t="n">
        <v>75</v>
      </c>
      <c r="B76" s="636" t="inlineStr">
        <is>
          <t>徐海杰</t>
        </is>
      </c>
      <c r="C76" s="95" t="inlineStr">
        <is>
          <t>男</t>
        </is>
      </c>
      <c r="D76" s="637" t="inlineStr">
        <is>
          <t>后端开发工程师</t>
        </is>
      </c>
      <c r="E76" s="548" t="n">
        <v>45698</v>
      </c>
      <c r="F76" s="636" t="inlineStr">
        <is>
          <t>南京</t>
        </is>
      </c>
      <c r="G76" s="523" t="inlineStr">
        <is>
          <t>320113199712196017</t>
        </is>
      </c>
      <c r="H76" s="548">
        <f>TEXT(MID(G76,7,8),"0000-00-00")</f>
        <v/>
      </c>
      <c r="I76" s="95">
        <f>CHOOSE(MONTH($H76),1,1,1,2,2,2,3,3,3,4,4,4)</f>
        <v/>
      </c>
    </row>
    <row r="77" customFormat="1" s="532">
      <c r="A77" s="95" t="n">
        <v>76</v>
      </c>
      <c r="B77" s="636" t="inlineStr">
        <is>
          <t>王金涛</t>
        </is>
      </c>
      <c r="C77" s="95" t="inlineStr">
        <is>
          <t>男</t>
        </is>
      </c>
      <c r="D77" s="637" t="inlineStr">
        <is>
          <t>实车测试工程师</t>
        </is>
      </c>
      <c r="E77" s="548" t="n">
        <v>45698</v>
      </c>
      <c r="F77" s="636" t="inlineStr">
        <is>
          <t>芜湖</t>
        </is>
      </c>
      <c r="G77" s="523" t="inlineStr">
        <is>
          <t>220105199001212013</t>
        </is>
      </c>
      <c r="H77" s="548">
        <f>TEXT(MID(G77,7,8),"0000-00-00")</f>
        <v/>
      </c>
      <c r="I77" s="95">
        <f>CHOOSE(MONTH($H77),1,1,1,2,2,2,3,3,3,4,4,4)</f>
        <v/>
      </c>
    </row>
    <row r="78" customFormat="1" s="532">
      <c r="A78" s="95" t="n">
        <v>77</v>
      </c>
      <c r="B78" s="636" t="inlineStr">
        <is>
          <t>孙滔</t>
        </is>
      </c>
      <c r="C78" s="95" t="inlineStr">
        <is>
          <t>男</t>
        </is>
      </c>
      <c r="D78" s="637" t="inlineStr">
        <is>
          <t>实车测试工程师</t>
        </is>
      </c>
      <c r="E78" s="548" t="n">
        <v>45698</v>
      </c>
      <c r="F78" s="636" t="inlineStr">
        <is>
          <t>北京</t>
        </is>
      </c>
      <c r="G78" s="523" t="inlineStr">
        <is>
          <t>130629199507050011</t>
        </is>
      </c>
      <c r="H78" s="548">
        <f>TEXT(MID(G78,7,8),"0000-00-00")</f>
        <v/>
      </c>
      <c r="I78" s="95">
        <f>CHOOSE(MONTH($H78),1,1,1,2,2,2,3,3,3,4,4,4)</f>
        <v/>
      </c>
    </row>
    <row r="79" customFormat="1" s="532">
      <c r="A79" s="95" t="n">
        <v>78</v>
      </c>
      <c r="B79" s="636" t="inlineStr">
        <is>
          <t>苏志博</t>
        </is>
      </c>
      <c r="C79" s="95" t="inlineStr">
        <is>
          <t>男</t>
        </is>
      </c>
      <c r="D79" s="637" t="inlineStr">
        <is>
          <t>自动驾驶系统测试工程师（数据分析）</t>
        </is>
      </c>
      <c r="E79" s="548" t="n">
        <v>45705</v>
      </c>
      <c r="F79" s="636" t="inlineStr">
        <is>
          <t>上海</t>
        </is>
      </c>
      <c r="G79" s="523" t="inlineStr">
        <is>
          <t>610724200009107015</t>
        </is>
      </c>
      <c r="H79" s="548">
        <f>TEXT(MID(G79,7,8),"0000-00-00")</f>
        <v/>
      </c>
      <c r="I79" s="95">
        <f>CHOOSE(MONTH($H79),1,1,1,2,2,2,3,3,3,4,4,4)</f>
        <v/>
      </c>
    </row>
    <row r="80" customFormat="1" s="532">
      <c r="A80" s="95" t="n">
        <v>79</v>
      </c>
      <c r="B80" s="636" t="inlineStr">
        <is>
          <t>司继中</t>
        </is>
      </c>
      <c r="C80" s="95" t="inlineStr">
        <is>
          <t>男</t>
        </is>
      </c>
      <c r="D80" s="637" t="inlineStr">
        <is>
          <t>数据验收员</t>
        </is>
      </c>
      <c r="E80" s="548" t="n">
        <v>45712</v>
      </c>
      <c r="F80" s="636" t="inlineStr">
        <is>
          <t>北京</t>
        </is>
      </c>
      <c r="G80" s="523" t="inlineStr">
        <is>
          <t>411525200204259371</t>
        </is>
      </c>
      <c r="H80" s="548">
        <f>TEXT(MID(G80,7,8),"0000-00-00")</f>
        <v/>
      </c>
      <c r="I80" s="95">
        <f>CHOOSE(MONTH($H80),1,1,1,2,2,2,3,3,3,4,4,4)</f>
        <v/>
      </c>
    </row>
    <row r="81" customFormat="1" s="532">
      <c r="A81" s="95" t="n">
        <v>80</v>
      </c>
      <c r="B81" s="636" t="inlineStr">
        <is>
          <t>崔淑擎</t>
        </is>
      </c>
      <c r="C81" s="95" t="inlineStr">
        <is>
          <t>女</t>
        </is>
      </c>
      <c r="D81" s="637" t="inlineStr">
        <is>
          <t>Golang开发工程师</t>
        </is>
      </c>
      <c r="E81" s="548" t="n">
        <v>45714</v>
      </c>
      <c r="F81" s="636" t="inlineStr">
        <is>
          <t>北京</t>
        </is>
      </c>
      <c r="G81" s="523" t="inlineStr">
        <is>
          <t>410724199801082525</t>
        </is>
      </c>
      <c r="H81" s="548">
        <f>TEXT(MID(G81,7,8),"0000-00-00")</f>
        <v/>
      </c>
      <c r="I81" s="95">
        <f>CHOOSE(MONTH($H81),1,1,1,2,2,2,3,3,3,4,4,4)</f>
        <v/>
      </c>
    </row>
    <row r="82" customFormat="1" s="532">
      <c r="A82" s="95" t="n">
        <v>81</v>
      </c>
      <c r="B82" s="636" t="inlineStr">
        <is>
          <t>龙阳</t>
        </is>
      </c>
      <c r="C82" s="95" t="inlineStr">
        <is>
          <t>男</t>
        </is>
      </c>
      <c r="D82" s="637" t="inlineStr">
        <is>
          <t>实车测试工程师</t>
        </is>
      </c>
      <c r="E82" s="548" t="n">
        <v>45719</v>
      </c>
      <c r="F82" s="636" t="inlineStr">
        <is>
          <t>北京</t>
        </is>
      </c>
      <c r="G82" s="523" t="inlineStr">
        <is>
          <t>110229198809064216</t>
        </is>
      </c>
      <c r="H82" s="548">
        <f>TEXT(MID(G82,7,8),"0000-00-00")</f>
        <v/>
      </c>
      <c r="I82" s="95">
        <f>CHOOSE(MONTH($H82),1,1,1,2,2,2,3,3,3,4,4,4)</f>
        <v/>
      </c>
    </row>
    <row r="83" customFormat="1" s="532">
      <c r="A83" s="95" t="n">
        <v>82</v>
      </c>
      <c r="B83" s="636" t="inlineStr">
        <is>
          <t>陈鑫</t>
        </is>
      </c>
      <c r="C83" s="95" t="inlineStr">
        <is>
          <t>男</t>
        </is>
      </c>
      <c r="D83" s="637" t="inlineStr">
        <is>
          <t>销售运营</t>
        </is>
      </c>
      <c r="E83" s="548" t="n">
        <v>45721</v>
      </c>
      <c r="F83" s="636" t="inlineStr">
        <is>
          <t>深圳</t>
        </is>
      </c>
      <c r="G83" s="523" t="inlineStr">
        <is>
          <t>430223199511171263</t>
        </is>
      </c>
      <c r="H83" s="548">
        <f>TEXT(MID(G83,7,8),"0000-00-00")</f>
        <v/>
      </c>
      <c r="I83" s="95">
        <f>CHOOSE(MONTH($H83),1,1,1,2,2,2,3,3,3,4,4,4)</f>
        <v/>
      </c>
    </row>
    <row r="84" customFormat="1" s="532">
      <c r="A84" s="95" t="n">
        <v>83</v>
      </c>
      <c r="B84" s="636" t="inlineStr">
        <is>
          <t>梁佳俊</t>
        </is>
      </c>
      <c r="C84" s="95" t="inlineStr">
        <is>
          <t>男</t>
        </is>
      </c>
      <c r="D84" s="637" t="inlineStr">
        <is>
          <t>实车测试工程师</t>
        </is>
      </c>
      <c r="E84" s="548" t="n">
        <v>45719</v>
      </c>
      <c r="F84" s="636" t="inlineStr">
        <is>
          <t>北京</t>
        </is>
      </c>
      <c r="G84" s="523" t="inlineStr">
        <is>
          <t>130731199907212611</t>
        </is>
      </c>
      <c r="H84" s="548">
        <f>TEXT(MID(G84,7,8),"0000-00-00")</f>
        <v/>
      </c>
      <c r="I84" s="95">
        <f>CHOOSE(MONTH($H84),1,1,1,2,2,2,3,3,3,4,4,4)</f>
        <v/>
      </c>
    </row>
    <row r="85" customFormat="1" s="532">
      <c r="A85" s="95" t="n">
        <v>84</v>
      </c>
      <c r="B85" s="636" t="inlineStr">
        <is>
          <t>王子成</t>
        </is>
      </c>
      <c r="C85" s="95" t="inlineStr">
        <is>
          <t>男</t>
        </is>
      </c>
      <c r="D85" s="637" t="inlineStr">
        <is>
          <t>采集质检专员</t>
        </is>
      </c>
      <c r="E85" s="548" t="n">
        <v>45721</v>
      </c>
      <c r="F85" s="636" t="inlineStr">
        <is>
          <t>南京</t>
        </is>
      </c>
      <c r="G85" s="523" t="inlineStr">
        <is>
          <t>321284200408088019</t>
        </is>
      </c>
      <c r="H85" s="548">
        <f>TEXT(MID(G85,7,8),"0000-00-00")</f>
        <v/>
      </c>
      <c r="I85" s="95">
        <f>CHOOSE(MONTH($H85),1,1,1,2,2,2,3,3,3,4,4,4)</f>
        <v/>
      </c>
    </row>
    <row r="86" customFormat="1" s="532">
      <c r="A86" s="95" t="n">
        <v>85</v>
      </c>
      <c r="B86" s="636" t="inlineStr">
        <is>
          <t>孟鑫璐</t>
        </is>
      </c>
      <c r="C86" s="95" t="inlineStr">
        <is>
          <t>女</t>
        </is>
      </c>
      <c r="D86" s="637" t="inlineStr">
        <is>
          <t>采集质检专员</t>
        </is>
      </c>
      <c r="E86" s="548" t="n">
        <v>45726</v>
      </c>
      <c r="F86" s="636" t="inlineStr">
        <is>
          <t>北京</t>
        </is>
      </c>
      <c r="G86" s="523" t="inlineStr">
        <is>
          <t>371521200302240924</t>
        </is>
      </c>
      <c r="H86" s="548">
        <f>TEXT(MID(G86,7,8),"0000-00-00")</f>
        <v/>
      </c>
      <c r="I86" s="95">
        <f>CHOOSE(MONTH($H86),1,1,1,2,2,2,3,3,3,4,4,4)</f>
        <v/>
      </c>
    </row>
    <row r="87" customFormat="1" s="532">
      <c r="A87" s="95" t="n">
        <v>86</v>
      </c>
      <c r="B87" s="636" t="inlineStr">
        <is>
          <t>贾越程</t>
        </is>
      </c>
      <c r="C87" s="95" t="inlineStr">
        <is>
          <t>男</t>
        </is>
      </c>
      <c r="D87" s="637" t="inlineStr">
        <is>
          <t>实车测试工程师（接待）</t>
        </is>
      </c>
      <c r="E87" s="548" t="n">
        <v>45726</v>
      </c>
      <c r="F87" s="636" t="inlineStr">
        <is>
          <t>北京</t>
        </is>
      </c>
      <c r="G87" s="523" t="inlineStr">
        <is>
          <t>130638199907163011</t>
        </is>
      </c>
      <c r="H87" s="548">
        <f>TEXT(MID(G87,7,8),"0000-00-00")</f>
        <v/>
      </c>
      <c r="I87" s="95">
        <f>CHOOSE(MONTH($H87),1,1,1,2,2,2,3,3,3,4,4,4)</f>
        <v/>
      </c>
    </row>
    <row r="88" customFormat="1" s="532">
      <c r="A88" s="95" t="n">
        <v>87</v>
      </c>
      <c r="B88" s="636" t="inlineStr">
        <is>
          <t>梁帅</t>
        </is>
      </c>
      <c r="C88" s="95" t="inlineStr">
        <is>
          <t>男</t>
        </is>
      </c>
      <c r="D88" s="637" t="inlineStr">
        <is>
          <t>实车测试工程师</t>
        </is>
      </c>
      <c r="E88" s="548" t="n">
        <v>45735</v>
      </c>
      <c r="F88" s="636" t="inlineStr">
        <is>
          <t>上海</t>
        </is>
      </c>
      <c r="G88" s="523" t="inlineStr">
        <is>
          <t>433127199507051413</t>
        </is>
      </c>
      <c r="H88" s="548">
        <f>TEXT(MID(G88,7,8),"0000-00-00")</f>
        <v/>
      </c>
      <c r="I88" s="95">
        <f>CHOOSE(MONTH($H88),1,1,1,2,2,2,3,3,3,4,4,4)</f>
        <v/>
      </c>
    </row>
    <row r="89" customFormat="1" s="532">
      <c r="A89" s="95" t="n">
        <v>88</v>
      </c>
      <c r="B89" s="636" t="inlineStr">
        <is>
          <t>陈梦豪</t>
        </is>
      </c>
      <c r="C89" s="95" t="inlineStr">
        <is>
          <t>男</t>
        </is>
      </c>
      <c r="D89" s="637" t="inlineStr">
        <is>
          <t>实车测试工程师</t>
        </is>
      </c>
      <c r="E89" s="548" t="n">
        <v>45735</v>
      </c>
      <c r="F89" s="636" t="inlineStr">
        <is>
          <t>北京</t>
        </is>
      </c>
      <c r="G89" s="523" t="inlineStr">
        <is>
          <t>411381200202053038</t>
        </is>
      </c>
      <c r="H89" s="548">
        <f>TEXT(MID(G89,7,8),"0000-00-00")</f>
        <v/>
      </c>
      <c r="I89" s="95">
        <f>CHOOSE(MONTH($H89),1,1,1,2,2,2,3,3,3,4,4,4)</f>
        <v/>
      </c>
    </row>
    <row r="90" customFormat="1" s="532">
      <c r="A90" s="95" t="n">
        <v>89</v>
      </c>
      <c r="B90" s="636" t="inlineStr">
        <is>
          <t>韩雪飞</t>
        </is>
      </c>
      <c r="C90" s="95" t="inlineStr">
        <is>
          <t>男</t>
        </is>
      </c>
      <c r="D90" s="637" t="inlineStr">
        <is>
          <t>React前端开发</t>
        </is>
      </c>
      <c r="E90" s="548" t="n">
        <v>45735</v>
      </c>
      <c r="F90" s="636" t="inlineStr">
        <is>
          <t>北京</t>
        </is>
      </c>
      <c r="G90" s="523" t="inlineStr">
        <is>
          <t>130429200305035256</t>
        </is>
      </c>
      <c r="H90" s="548">
        <f>TEXT(MID(G90,7,8),"0000-00-00")</f>
        <v/>
      </c>
      <c r="I90" s="95">
        <f>CHOOSE(MONTH($H90),1,1,1,2,2,2,3,3,3,4,4,4)</f>
        <v/>
      </c>
    </row>
    <row r="91" customFormat="1" s="532">
      <c r="A91" s="95" t="n">
        <v>90</v>
      </c>
      <c r="B91" s="636" t="inlineStr">
        <is>
          <t>余盛世</t>
        </is>
      </c>
      <c r="C91" s="94" t="inlineStr">
        <is>
          <t>男</t>
        </is>
      </c>
      <c r="D91" s="637" t="inlineStr">
        <is>
          <t>智能驾驶整车改装工程师</t>
        </is>
      </c>
      <c r="E91" s="548" t="n">
        <v>45740</v>
      </c>
      <c r="F91" s="636" t="inlineStr">
        <is>
          <t>上海</t>
        </is>
      </c>
      <c r="G91" s="95" t="inlineStr">
        <is>
          <t>42112420000807201x</t>
        </is>
      </c>
      <c r="H91" s="548">
        <f>TEXT(MID(G91,7,8),"0000-00-00")</f>
        <v/>
      </c>
      <c r="I91" s="95">
        <f>CHOOSE(MONTH($H91),1,1,1,2,2,2,3,3,3,4,4,4)</f>
        <v/>
      </c>
      <c r="J91" s="80" t="n"/>
      <c r="K91" s="80" t="n"/>
      <c r="L91" s="80" t="n"/>
      <c r="M91" s="80" t="n"/>
      <c r="N91" s="80" t="n"/>
      <c r="O91" s="80" t="n"/>
      <c r="P91" s="80" t="n"/>
    </row>
    <row r="92" customFormat="1" s="532">
      <c r="A92" s="95" t="n">
        <v>91</v>
      </c>
      <c r="B92" s="636" t="inlineStr">
        <is>
          <t>刘四海</t>
        </is>
      </c>
      <c r="C92" s="94" t="inlineStr">
        <is>
          <t>男</t>
        </is>
      </c>
      <c r="D92" s="637" t="inlineStr">
        <is>
          <t>实车测试工程师</t>
        </is>
      </c>
      <c r="E92" s="548" t="n">
        <v>45742</v>
      </c>
      <c r="F92" s="636" t="inlineStr">
        <is>
          <t>北京</t>
        </is>
      </c>
      <c r="G92" s="523" t="inlineStr">
        <is>
          <t>412828198909264855</t>
        </is>
      </c>
      <c r="H92" s="548">
        <f>TEXT(MID(G92,7,8),"0000-00-00")</f>
        <v/>
      </c>
      <c r="I92" s="95">
        <f>CHOOSE(MONTH($H92),1,1,1,2,2,2,3,3,3,4,4,4)</f>
        <v/>
      </c>
      <c r="J92" s="80" t="n"/>
      <c r="K92" s="80" t="n"/>
      <c r="L92" s="80" t="n"/>
      <c r="M92" s="80" t="n"/>
      <c r="N92" s="80" t="n"/>
      <c r="O92" s="80" t="n"/>
      <c r="P92" s="80" t="n"/>
    </row>
    <row r="93" customFormat="1" s="532">
      <c r="A93" s="95" t="n">
        <v>92</v>
      </c>
      <c r="B93" s="636" t="inlineStr">
        <is>
          <t>刘崇</t>
        </is>
      </c>
      <c r="C93" s="94" t="inlineStr">
        <is>
          <t>男</t>
        </is>
      </c>
      <c r="D93" s="637" t="inlineStr">
        <is>
          <t>智能驾驶整车改装工程师</t>
        </is>
      </c>
      <c r="E93" s="548" t="n">
        <v>45726</v>
      </c>
      <c r="F93" s="636" t="inlineStr">
        <is>
          <t>上海</t>
        </is>
      </c>
      <c r="G93" s="523" t="inlineStr">
        <is>
          <t>411327199801163112</t>
        </is>
      </c>
      <c r="H93" s="548">
        <f>TEXT(MID(G93,7,8),"0000-00-00")</f>
        <v/>
      </c>
      <c r="I93" s="95">
        <f>CHOOSE(MONTH($H93),1,1,1,2,2,2,3,3,3,4,4,4)</f>
        <v/>
      </c>
      <c r="J93" s="80" t="n"/>
      <c r="K93" s="80" t="n"/>
      <c r="L93" s="80" t="n"/>
      <c r="M93" s="80" t="n"/>
      <c r="N93" s="80" t="n"/>
      <c r="O93" s="80" t="n"/>
      <c r="P93" s="80" t="n"/>
    </row>
    <row r="94" customFormat="1" s="532">
      <c r="A94" s="95" t="n">
        <v>93</v>
      </c>
      <c r="B94" s="636" t="inlineStr">
        <is>
          <t>汤慧基</t>
        </is>
      </c>
      <c r="C94" s="96" t="inlineStr">
        <is>
          <t>男</t>
        </is>
      </c>
      <c r="D94" s="637" t="inlineStr">
        <is>
          <t>测试工程师</t>
        </is>
      </c>
      <c r="E94" s="548" t="n">
        <v>45747</v>
      </c>
      <c r="F94" s="636" t="inlineStr">
        <is>
          <t>杭州</t>
        </is>
      </c>
      <c r="G94" s="523" t="inlineStr">
        <is>
          <t>412723200204091619</t>
        </is>
      </c>
      <c r="H94" s="548">
        <f>TEXT(MID(G94,7,8),"0000-00-00")</f>
        <v/>
      </c>
      <c r="I94" s="95">
        <f>CHOOSE(MONTH($H94),1,1,1,2,2,2,3,3,3,4,4,4)</f>
        <v/>
      </c>
      <c r="J94" s="80" t="n"/>
      <c r="K94" s="80" t="n"/>
      <c r="L94" s="80" t="n"/>
      <c r="M94" s="80" t="n"/>
      <c r="N94" s="80" t="n"/>
      <c r="O94" s="80" t="n"/>
      <c r="P94" s="80" t="n"/>
    </row>
    <row r="95" customFormat="1" s="532">
      <c r="A95" s="82" t="n"/>
      <c r="D95" s="541" t="n"/>
      <c r="E95" s="533" t="n"/>
      <c r="G95" s="82" t="n"/>
      <c r="H95" s="82" t="n"/>
    </row>
    <row r="96" customFormat="1" s="532">
      <c r="A96" s="82" t="n"/>
      <c r="D96" s="541" t="n"/>
      <c r="E96" s="533" t="n"/>
      <c r="G96" s="82" t="n"/>
      <c r="H96" s="82" t="n"/>
    </row>
    <row r="97" customFormat="1" s="532">
      <c r="A97" s="82" t="n"/>
      <c r="D97" s="541" t="n"/>
      <c r="E97" s="533" t="n"/>
      <c r="G97" s="82" t="n"/>
      <c r="H97" s="82" t="n"/>
    </row>
    <row r="98" customFormat="1" s="532">
      <c r="A98" s="82" t="n"/>
      <c r="D98" s="541" t="n"/>
      <c r="E98" s="533" t="n"/>
      <c r="G98" s="82" t="n"/>
      <c r="H98" s="82" t="n"/>
    </row>
    <row r="99" customFormat="1" s="532">
      <c r="A99" s="82" t="n"/>
      <c r="D99" s="541" t="n"/>
      <c r="E99" s="533" t="n"/>
      <c r="G99" s="82" t="n"/>
      <c r="H99" s="82" t="n"/>
    </row>
    <row r="100" customFormat="1" s="532">
      <c r="A100" s="82" t="n"/>
      <c r="D100" s="541" t="n"/>
      <c r="E100" s="533" t="n"/>
      <c r="G100" s="82" t="n"/>
      <c r="H100" s="82" t="n"/>
    </row>
    <row r="101" customFormat="1" s="532">
      <c r="A101" s="82" t="n"/>
      <c r="D101" s="541" t="n"/>
      <c r="E101" s="533" t="n"/>
      <c r="G101" s="82" t="n"/>
      <c r="H101" s="82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B48"/>
  <sheetViews>
    <sheetView topLeftCell="A26" zoomScale="60" zoomScaleNormal="60" workbookViewId="0">
      <selection activeCell="N54" sqref="N54"/>
    </sheetView>
  </sheetViews>
  <sheetFormatPr baseColWidth="8" defaultColWidth="8.888888888888889" defaultRowHeight="14.4"/>
  <cols>
    <col width="8.888888888888889" customWidth="1" style="558" min="3" max="3"/>
    <col width="33.5185185185185" customWidth="1" style="32" min="4" max="4"/>
    <col width="16.6666666666667" customWidth="1" style="558" min="5" max="5"/>
    <col width="15.9259259259259" customWidth="1" style="558" min="6" max="6"/>
    <col width="17" customWidth="1" style="558" min="7" max="7"/>
    <col width="8.888888888888889" customWidth="1" style="558" min="8" max="8"/>
    <col width="25.9259259259259" customWidth="1" style="558" min="9" max="9"/>
    <col width="8.888888888888889" customWidth="1" style="558" min="10" max="11"/>
    <col width="15.6666666666667" customWidth="1" style="558" min="12" max="12"/>
    <col width="25.1851851851852" customWidth="1" style="558" min="13" max="13"/>
    <col width="33.5185185185185" customWidth="1" style="558" min="14" max="14"/>
    <col width="32.962962962963" customWidth="1" style="558" min="15" max="15"/>
    <col width="77.4074074074074" customWidth="1" style="558" min="16" max="16"/>
  </cols>
  <sheetData>
    <row r="1" ht="246" customHeight="1" s="558">
      <c r="A1" s="19" t="inlineStr">
        <is>
          <t>罗姐，这个是我们招聘的岗位哈，怕我写的你看不懂，发你下
收到土五-软件测试 立帆这边同步的最新临时测试需求，需求细节如下：
需求人数：5人
需求时间：2025/7/14~2025/7/23（共8天，不含周末）
其中2025/7/21-2025/7/23三天为buffer时间，考虑到工厂发件的周期不固定，所以看看能不能多book3天，如果前5天能准时发货且进展顺利，我们尽可能提前同步~
地点：汇智科技园
订劳务合同，需求时间：2025/7/14~2025/7/23（共8天，不含周末）
工资发放：第三天发 第一天—+第二天薪资，以此类推
其中2025/7/21-2025/7/23三天为buffer时间
（短期的，450一天，报价850元一天）</t>
        </is>
      </c>
      <c r="O1" s="20">
        <f>_xlfn.DISPIMG("ID_A93DC399E50E42DBBA15948A3055CDFB",1)</f>
        <v/>
      </c>
      <c r="P1" s="20" t="n"/>
    </row>
    <row r="2" ht="71" customFormat="1" customHeight="1" s="15">
      <c r="A2" s="21" t="inlineStr">
        <is>
          <t>批次
第一批</t>
        </is>
      </c>
      <c r="B2" s="22" t="inlineStr">
        <is>
          <t>姓名</t>
        </is>
      </c>
      <c r="C2" s="22" t="inlineStr">
        <is>
          <t>性别</t>
        </is>
      </c>
      <c r="D2" s="21" t="inlineStr">
        <is>
          <t>报价
（特指工资？试用期？
合同签署注意事项）</t>
        </is>
      </c>
      <c r="E2" s="21" t="inlineStr">
        <is>
          <t>备注
（特指入职材料
归档情况）</t>
        </is>
      </c>
      <c r="F2" s="22" t="inlineStr">
        <is>
          <t>岗位</t>
        </is>
      </c>
      <c r="G2" s="22" t="inlineStr">
        <is>
          <t>入职
时间</t>
        </is>
      </c>
      <c r="H2" s="21" t="inlineStr">
        <is>
          <t>教育
程度</t>
        </is>
      </c>
      <c r="I2" s="22" t="inlineStr">
        <is>
          <t>邮箱</t>
        </is>
      </c>
      <c r="J2" s="21" t="inlineStr">
        <is>
          <t>联系
地址</t>
        </is>
      </c>
      <c r="K2" s="21" t="inlineStr">
        <is>
          <t>家庭住址
 户口</t>
        </is>
      </c>
      <c r="L2" s="22" t="inlineStr">
        <is>
          <t>联系
方式</t>
        </is>
      </c>
      <c r="M2" s="22" t="inlineStr">
        <is>
          <t>身份证
号码</t>
        </is>
      </c>
      <c r="N2" s="23" t="inlineStr">
        <is>
          <t>工资卡
卡号</t>
        </is>
      </c>
      <c r="O2" s="22" t="inlineStr">
        <is>
          <t>银行</t>
        </is>
      </c>
      <c r="P2" s="24" t="inlineStr">
        <is>
          <t>备注-
本次按个税申报的个税，而不是劳务申报的个税</t>
        </is>
      </c>
      <c r="Q2" s="25" t="inlineStr">
        <is>
          <t>公积金
账号</t>
        </is>
      </c>
      <c r="R2" s="25" t="inlineStr">
        <is>
          <t>离职时间</t>
        </is>
      </c>
      <c r="S2" s="25" t="inlineStr">
        <is>
          <t>简历
（先不维护）</t>
        </is>
      </c>
      <c r="T2" s="25" t="inlineStr">
        <is>
          <t>其他
附件
（如有）</t>
        </is>
      </c>
      <c r="U2" s="25" t="n"/>
      <c r="V2" s="32" t="n"/>
      <c r="W2" s="32" t="n"/>
      <c r="X2" s="32" t="n"/>
      <c r="Y2" s="32" t="n"/>
      <c r="Z2" s="32" t="n"/>
      <c r="AA2" s="32" t="n"/>
      <c r="AB2" s="32" t="n"/>
      <c r="AC2" s="32" t="n"/>
      <c r="AD2" s="32" t="n"/>
      <c r="AE2" s="32" t="n"/>
      <c r="AF2" s="32" t="n"/>
      <c r="AG2" s="32" t="n"/>
      <c r="AH2" s="32" t="n"/>
      <c r="AI2" s="32" t="n"/>
      <c r="AJ2" s="32" t="n"/>
      <c r="AK2" s="32" t="n"/>
      <c r="AL2" s="32" t="n"/>
      <c r="AM2" s="32" t="n"/>
      <c r="AN2" s="32" t="n"/>
      <c r="AO2" s="32" t="n"/>
      <c r="AP2" s="32" t="n"/>
      <c r="AQ2" s="32" t="n"/>
      <c r="AR2" s="32" t="n"/>
      <c r="AS2" s="32" t="n"/>
      <c r="AT2" s="32" t="n"/>
      <c r="AU2" s="32" t="n"/>
      <c r="AV2" s="32" t="n"/>
      <c r="AW2" s="32" t="n"/>
      <c r="AX2" s="32" t="n"/>
      <c r="AY2" s="32" t="n"/>
      <c r="AZ2" s="32" t="n"/>
      <c r="BA2" s="32" t="n"/>
      <c r="BB2" s="32" t="n"/>
      <c r="BC2" s="32" t="n"/>
      <c r="BD2" s="32" t="n"/>
      <c r="BE2" s="32" t="n"/>
      <c r="BF2" s="32" t="n"/>
      <c r="BG2" s="32" t="n"/>
      <c r="BH2" s="32" t="n"/>
      <c r="BI2" s="32" t="n"/>
      <c r="BJ2" s="32" t="n"/>
      <c r="BK2" s="32" t="n"/>
      <c r="BL2" s="32" t="n"/>
      <c r="BM2" s="32" t="n"/>
      <c r="BN2" s="32" t="n"/>
      <c r="BO2" s="32" t="n"/>
      <c r="BP2" s="32" t="n"/>
      <c r="BQ2" s="32" t="n"/>
      <c r="BR2" s="32" t="n"/>
      <c r="BS2" s="32" t="n"/>
      <c r="BT2" s="32" t="n"/>
      <c r="BU2" s="32" t="n"/>
      <c r="BV2" s="32" t="n"/>
      <c r="BW2" s="32" t="n"/>
      <c r="BX2" s="32" t="n"/>
      <c r="BY2" s="32" t="n"/>
      <c r="BZ2" s="32" t="n"/>
      <c r="CA2" s="32" t="n"/>
      <c r="CB2" s="32" t="n"/>
      <c r="CC2" s="32" t="n"/>
      <c r="CD2" s="32" t="n"/>
      <c r="CE2" s="32" t="n"/>
      <c r="CF2" s="32" t="n"/>
      <c r="CG2" s="32" t="n"/>
      <c r="CH2" s="32" t="n"/>
      <c r="CI2" s="32" t="n"/>
      <c r="CJ2" s="32" t="n"/>
      <c r="CK2" s="32" t="n"/>
      <c r="CL2" s="32" t="n"/>
      <c r="CM2" s="32" t="n"/>
      <c r="CN2" s="32" t="n"/>
      <c r="CO2" s="32" t="n"/>
      <c r="CP2" s="32" t="n"/>
      <c r="CQ2" s="32" t="n"/>
      <c r="CR2" s="32" t="n"/>
      <c r="CS2" s="32" t="n"/>
      <c r="CT2" s="32" t="n"/>
      <c r="CU2" s="32" t="n"/>
      <c r="CV2" s="32" t="n"/>
    </row>
    <row r="3" ht="77" customFormat="1" customHeight="1" s="31">
      <c r="A3" s="27" t="n">
        <v>30</v>
      </c>
      <c r="B3" s="27" t="inlineStr">
        <is>
          <t>王朝阳</t>
        </is>
      </c>
      <c r="C3" s="27" t="inlineStr">
        <is>
          <t>男</t>
        </is>
      </c>
      <c r="D3" s="28" t="inlineStr">
        <is>
          <t>工资：450 /天，签订劳务合同，需求时间：7/14~7/23（共8天，不含周末）
工资发放：第三天发 第一天—+第二天薪资，以此类推
其中7/21-7/23三天为buffer时间
（短期的，450一天）</t>
        </is>
      </c>
      <c r="E3" s="27" t="inlineStr">
        <is>
          <t>电子签签署完毕</t>
        </is>
      </c>
      <c r="F3" s="28" t="inlineStr">
        <is>
          <t>自动驾驶
测试开发工程师
(软件方向)</t>
        </is>
      </c>
      <c r="G3" s="29" t="n">
        <v>45852</v>
      </c>
      <c r="H3" s="27" t="n"/>
      <c r="I3" s="27" t="inlineStr">
        <is>
          <t>851566981@qq.com</t>
        </is>
      </c>
      <c r="J3" s="27" t="inlineStr">
        <is>
          <t>江苏省南京市玄武区仙居雅苑40幢201</t>
        </is>
      </c>
      <c r="K3" s="27" t="inlineStr">
        <is>
          <t>河南人平顶山市湛河区曹镇乡朱堂村92号</t>
        </is>
      </c>
      <c r="L3" s="27" t="n">
        <v>18137597121</v>
      </c>
      <c r="M3" s="524" t="inlineStr">
        <is>
          <t>410411199211245613</t>
        </is>
      </c>
      <c r="N3" s="525" t="inlineStr">
        <is>
          <t>6214832159354609</t>
        </is>
      </c>
      <c r="O3" s="28" t="inlineStr">
        <is>
          <t>招商银行股份有限公司上海创智天地支行</t>
        </is>
      </c>
      <c r="P3" s="30" t="inlineStr">
        <is>
          <t>2025.7.16日已转7.14-7.15日费用900元
2025.7.18日已转7.16-7.17日费用900元
2025.7.22日已转7.18和7.21日费用900元（7.19-7.20日是周六周日）
2025.7.24日已转7.22和7.23日费用900元，至此费用结清</t>
        </is>
      </c>
      <c r="Q3" s="31" t="n"/>
      <c r="R3" s="31" t="n"/>
      <c r="S3" s="31" t="n"/>
      <c r="T3" s="31" t="n"/>
      <c r="U3" s="31" t="n"/>
      <c r="V3" s="31" t="n"/>
      <c r="W3" s="31" t="n"/>
      <c r="X3" s="31" t="n"/>
      <c r="Y3" s="31" t="n"/>
      <c r="Z3" s="31" t="n"/>
      <c r="AA3" s="31" t="n"/>
      <c r="AB3" s="31" t="n"/>
      <c r="AC3" s="31" t="n"/>
      <c r="AD3" s="31" t="n"/>
      <c r="AE3" s="31" t="n"/>
      <c r="AF3" s="31" t="n"/>
      <c r="AG3" s="31" t="n"/>
      <c r="AH3" s="31" t="n"/>
      <c r="AI3" s="31" t="n"/>
      <c r="AJ3" s="31" t="n"/>
      <c r="AK3" s="31" t="n"/>
      <c r="AL3" s="31" t="n"/>
      <c r="AM3" s="31" t="n"/>
      <c r="AN3" s="31" t="n"/>
      <c r="AO3" s="31" t="n"/>
      <c r="AP3" s="31" t="n"/>
      <c r="AQ3" s="31" t="n"/>
      <c r="AR3" s="31" t="n"/>
      <c r="AS3" s="31" t="n"/>
      <c r="AT3" s="31" t="n"/>
      <c r="AU3" s="31" t="n"/>
      <c r="AV3" s="31" t="n"/>
      <c r="AW3" s="31" t="n"/>
      <c r="AX3" s="31" t="n"/>
      <c r="AY3" s="31" t="n"/>
      <c r="AZ3" s="31" t="n"/>
      <c r="BA3" s="31" t="n"/>
      <c r="BB3" s="31" t="n"/>
      <c r="BC3" s="31" t="n"/>
      <c r="BD3" s="31" t="n"/>
      <c r="BE3" s="31" t="n"/>
      <c r="BF3" s="31" t="n"/>
      <c r="BG3" s="31" t="n"/>
      <c r="BH3" s="31" t="n"/>
      <c r="BI3" s="31" t="n"/>
      <c r="BJ3" s="31" t="n"/>
      <c r="BK3" s="31" t="n"/>
      <c r="BL3" s="31" t="n"/>
      <c r="BM3" s="31" t="n"/>
      <c r="BN3" s="31" t="n"/>
      <c r="BO3" s="31" t="n"/>
      <c r="BP3" s="31" t="n"/>
      <c r="BQ3" s="31" t="n"/>
      <c r="BR3" s="31" t="n"/>
      <c r="BS3" s="31" t="n"/>
      <c r="BT3" s="31" t="n"/>
      <c r="BU3" s="31" t="n"/>
      <c r="BV3" s="31" t="n"/>
      <c r="BW3" s="31" t="n"/>
      <c r="BX3" s="31" t="n"/>
      <c r="BY3" s="31" t="n"/>
      <c r="BZ3" s="31" t="n"/>
      <c r="CA3" s="31" t="n"/>
      <c r="CB3" s="31" t="n"/>
      <c r="CC3" s="31" t="n"/>
      <c r="CD3" s="31" t="n"/>
      <c r="CE3" s="31" t="n"/>
      <c r="CF3" s="31" t="n"/>
      <c r="CG3" s="31" t="n"/>
      <c r="CH3" s="31" t="n"/>
      <c r="CI3" s="31" t="n"/>
      <c r="CJ3" s="31" t="n"/>
      <c r="CK3" s="31" t="n"/>
      <c r="CL3" s="31" t="n"/>
      <c r="CM3" s="31" t="n"/>
      <c r="CN3" s="31" t="n"/>
      <c r="CO3" s="31" t="n"/>
      <c r="CP3" s="31" t="n"/>
      <c r="CQ3" s="31" t="n"/>
      <c r="CR3" s="31" t="n"/>
      <c r="CS3" s="31" t="n"/>
      <c r="CT3" s="31" t="n"/>
      <c r="CU3" s="31" t="n"/>
      <c r="CV3" s="31" t="n"/>
      <c r="CW3" s="31" t="n"/>
      <c r="CX3" s="31" t="n"/>
      <c r="CY3" s="31" t="n"/>
      <c r="CZ3" s="31" t="n"/>
      <c r="DA3" s="31" t="n"/>
      <c r="DB3" s="31" t="n"/>
      <c r="DC3" s="31" t="n"/>
      <c r="DD3" s="31" t="n"/>
      <c r="DE3" s="31" t="n"/>
      <c r="DF3" s="31" t="n"/>
      <c r="DG3" s="31" t="n"/>
      <c r="DH3" s="31" t="n"/>
      <c r="DI3" s="31" t="n"/>
      <c r="DJ3" s="31" t="n"/>
      <c r="DK3" s="31" t="n"/>
      <c r="DL3" s="31" t="n"/>
      <c r="DM3" s="31" t="n"/>
      <c r="DN3" s="31" t="n"/>
      <c r="DO3" s="31" t="n"/>
      <c r="DP3" s="31" t="n"/>
      <c r="DQ3" s="31" t="n"/>
      <c r="DR3" s="31" t="n"/>
      <c r="DS3" s="31" t="n"/>
      <c r="DT3" s="31" t="n"/>
      <c r="DU3" s="31" t="n"/>
      <c r="DV3" s="31" t="n"/>
      <c r="DW3" s="31" t="n"/>
      <c r="DX3" s="31" t="n"/>
      <c r="DY3" s="31" t="n"/>
      <c r="DZ3" s="31" t="n"/>
      <c r="EA3" s="31" t="n"/>
      <c r="EB3" s="31" t="n"/>
      <c r="EC3" s="31" t="n"/>
      <c r="ED3" s="31" t="n"/>
      <c r="EE3" s="31" t="n"/>
      <c r="EF3" s="31" t="n"/>
      <c r="EG3" s="31" t="n"/>
      <c r="EH3" s="31" t="n"/>
      <c r="EI3" s="31" t="n"/>
      <c r="EJ3" s="31" t="n"/>
      <c r="EK3" s="31" t="n"/>
      <c r="EL3" s="31" t="n"/>
      <c r="EM3" s="31" t="n"/>
      <c r="EN3" s="31" t="n"/>
      <c r="EO3" s="31" t="n"/>
      <c r="EP3" s="31" t="n"/>
      <c r="EQ3" s="31" t="n"/>
      <c r="ER3" s="31" t="n"/>
      <c r="ES3" s="31" t="n"/>
      <c r="ET3" s="31" t="n"/>
      <c r="EU3" s="31" t="n"/>
      <c r="EV3" s="31" t="n"/>
      <c r="EW3" s="31" t="n"/>
      <c r="EX3" s="31" t="n"/>
      <c r="EY3" s="31" t="n"/>
      <c r="EZ3" s="31" t="n"/>
      <c r="FA3" s="31" t="n"/>
      <c r="FB3" s="31" t="n"/>
      <c r="FC3" s="31" t="n"/>
      <c r="FD3" s="31" t="n"/>
      <c r="FE3" s="31" t="n"/>
      <c r="FF3" s="31" t="n"/>
      <c r="FG3" s="31" t="n"/>
      <c r="FH3" s="31" t="n"/>
      <c r="FI3" s="31" t="n"/>
      <c r="FJ3" s="31" t="n"/>
      <c r="FK3" s="31" t="n"/>
      <c r="FL3" s="31" t="n"/>
      <c r="FM3" s="31" t="n"/>
      <c r="FN3" s="31" t="n"/>
      <c r="FO3" s="31" t="n"/>
      <c r="FP3" s="31" t="n"/>
      <c r="FQ3" s="31" t="n"/>
      <c r="FR3" s="31" t="n"/>
      <c r="FS3" s="31" t="n"/>
      <c r="FT3" s="31" t="n"/>
      <c r="FU3" s="31" t="n"/>
      <c r="FV3" s="31" t="n"/>
      <c r="FW3" s="31" t="n"/>
      <c r="FX3" s="31" t="n"/>
      <c r="FY3" s="31" t="n"/>
      <c r="FZ3" s="31" t="n"/>
      <c r="GA3" s="31" t="n"/>
      <c r="GB3" s="31" t="n"/>
      <c r="GC3" s="31" t="n"/>
      <c r="GD3" s="31" t="n"/>
      <c r="GE3" s="31" t="n"/>
      <c r="GF3" s="31" t="n"/>
      <c r="GG3" s="31" t="n"/>
      <c r="GH3" s="31" t="n"/>
      <c r="GI3" s="31" t="n"/>
      <c r="GJ3" s="31" t="n"/>
      <c r="GK3" s="31" t="n"/>
      <c r="GL3" s="31" t="n"/>
      <c r="GM3" s="31" t="n"/>
      <c r="GN3" s="31" t="n"/>
      <c r="GO3" s="31" t="n"/>
      <c r="GP3" s="31" t="n"/>
      <c r="GQ3" s="31" t="n"/>
      <c r="GR3" s="31" t="n"/>
      <c r="GS3" s="31" t="n"/>
      <c r="GT3" s="31" t="n"/>
      <c r="GU3" s="31" t="n"/>
      <c r="GV3" s="31" t="n"/>
      <c r="GW3" s="31" t="n"/>
      <c r="GX3" s="31" t="n"/>
      <c r="GY3" s="31" t="n"/>
      <c r="GZ3" s="31" t="n"/>
      <c r="HA3" s="31" t="n"/>
      <c r="HB3" s="31" t="n"/>
    </row>
    <row r="4" ht="77" customFormat="1" customHeight="1" s="31">
      <c r="A4" s="27" t="n">
        <v>31</v>
      </c>
      <c r="B4" s="27" t="inlineStr">
        <is>
          <t>蒋楠</t>
        </is>
      </c>
      <c r="C4" s="27" t="inlineStr">
        <is>
          <t>男</t>
        </is>
      </c>
      <c r="D4" s="28" t="inlineStr">
        <is>
          <t>工资：450 /天，签订劳务合同，需求时间：7/14~7/23（共8天，不含周末）
工资发放：第三天发 第一天—+第二天薪资，以此类推
其中7/21-7/23三天为buffer时间
（短期的，450一天）</t>
        </is>
      </c>
      <c r="E4" s="27" t="inlineStr">
        <is>
          <t>电子签签署完毕</t>
        </is>
      </c>
      <c r="F4" s="28" t="inlineStr">
        <is>
          <t>自动驾驶
测试开发工程师
(软件方向)</t>
        </is>
      </c>
      <c r="G4" s="29" t="n">
        <v>45852</v>
      </c>
      <c r="H4" s="27" t="n"/>
      <c r="I4" s="27" t="inlineStr">
        <is>
          <t>1139906368@qq.com</t>
        </is>
      </c>
      <c r="J4" s="27" t="inlineStr">
        <is>
          <t>江苏省南京市江宁区胜太路湖滨公寓17栋301</t>
        </is>
      </c>
      <c r="K4" s="27" t="inlineStr">
        <is>
          <t>江苏省淮安市淮安区平桥镇大任村蒋庄组15号</t>
        </is>
      </c>
      <c r="L4" s="27" t="n">
        <v>15061282166</v>
      </c>
      <c r="M4" s="524" t="inlineStr">
        <is>
          <t>320882199503221213</t>
        </is>
      </c>
      <c r="N4" s="525" t="inlineStr">
        <is>
          <t>6217770025734249</t>
        </is>
      </c>
      <c r="O4" s="28" t="inlineStr">
        <is>
          <t>南京银行江宁科学园支行</t>
        </is>
      </c>
      <c r="P4" s="30" t="inlineStr">
        <is>
          <t>2025.7.16日已转7.14-7.15日费用900元
2025.7.18日已转7.16日费用450元（17日请假了）--7.18转款失败，7.22转账成功
2025.7.22日已转7.18和7.21日费用900元（7.19-7.20日是周六周日）
2025.7.24日已转7.22和7.23日费用900元，至此费用结清</t>
        </is>
      </c>
      <c r="Q4" s="31" t="n"/>
      <c r="R4" s="31" t="n"/>
      <c r="S4" s="31" t="n"/>
      <c r="T4" s="31" t="n"/>
      <c r="U4" s="31" t="n"/>
      <c r="V4" s="31" t="n"/>
      <c r="W4" s="31" t="n"/>
      <c r="X4" s="31" t="n"/>
      <c r="Y4" s="31" t="n"/>
      <c r="Z4" s="31" t="n"/>
      <c r="AA4" s="31" t="n"/>
      <c r="AB4" s="31" t="n"/>
      <c r="AC4" s="31" t="n"/>
      <c r="AD4" s="31" t="n"/>
      <c r="AE4" s="31" t="n"/>
      <c r="AF4" s="31" t="n"/>
      <c r="AG4" s="31" t="n"/>
      <c r="AH4" s="31" t="n"/>
      <c r="AI4" s="31" t="n"/>
      <c r="AJ4" s="31" t="n"/>
      <c r="AK4" s="31" t="n"/>
      <c r="AL4" s="31" t="n"/>
      <c r="AM4" s="31" t="n"/>
      <c r="AN4" s="31" t="n"/>
      <c r="AO4" s="31" t="n"/>
      <c r="AP4" s="31" t="n"/>
      <c r="AQ4" s="31" t="n"/>
      <c r="AR4" s="31" t="n"/>
    </row>
    <row r="5" ht="77" customFormat="1" customHeight="1" s="31">
      <c r="A5" s="27" t="n">
        <v>32</v>
      </c>
      <c r="B5" s="27" t="inlineStr">
        <is>
          <t>唐秋爽</t>
        </is>
      </c>
      <c r="C5" s="27" t="inlineStr">
        <is>
          <t>男</t>
        </is>
      </c>
      <c r="D5" s="28" t="inlineStr">
        <is>
          <t>工资：450 /天，签订劳务合同，需求时间：7/14~7/23（共8天，不含周末）
工资发放：第三天发 第一天—+第二天薪资，以此类推
其中7/21-7/23三天为buffer时间
（短期的，450一天）</t>
        </is>
      </c>
      <c r="E5" s="27" t="inlineStr">
        <is>
          <t>电子签签署完毕</t>
        </is>
      </c>
      <c r="F5" s="28" t="inlineStr">
        <is>
          <t>自动驾驶
测试开发工程师
(软件方向)</t>
        </is>
      </c>
      <c r="G5" s="29" t="n">
        <v>45852</v>
      </c>
      <c r="H5" s="27" t="n"/>
      <c r="I5" s="27" t="inlineStr">
        <is>
          <t>1842548851@qq.com</t>
        </is>
      </c>
      <c r="J5" s="27" t="inlineStr">
        <is>
          <t>雨花东升裕园4栋二单元403</t>
        </is>
      </c>
      <c r="K5" s="27" t="inlineStr">
        <is>
          <t>江苏省沛县龙固镇果元村250号</t>
        </is>
      </c>
      <c r="L5" s="27" t="n">
        <v>13512579545</v>
      </c>
      <c r="M5" s="524" t="inlineStr">
        <is>
          <t>320322199712171634</t>
        </is>
      </c>
      <c r="N5" s="525" t="inlineStr">
        <is>
          <t>6217001370053937355</t>
        </is>
      </c>
      <c r="O5" s="27" t="inlineStr">
        <is>
          <t>中国建设银行南京雨润大街支行</t>
        </is>
      </c>
      <c r="P5" s="30" t="inlineStr">
        <is>
          <t>2025.7.16日已转7.14-7.15日费用900元
2025.7.18日已转7.16-7.17日费用900元
2025.7.22日已转7.18和7.21日费用900元（7.19-7.20日是周六周日）
2025.7.24日已转7.22和7.23日费用900元，至此费用结清</t>
        </is>
      </c>
      <c r="Q5" s="31" t="n"/>
      <c r="R5" s="31" t="n"/>
      <c r="S5" s="31" t="n"/>
      <c r="T5" s="31" t="n"/>
      <c r="U5" s="31" t="n"/>
      <c r="V5" s="31" t="n"/>
      <c r="W5" s="31" t="n"/>
      <c r="X5" s="31" t="n"/>
      <c r="Y5" s="31" t="n"/>
      <c r="Z5" s="31" t="n"/>
      <c r="AA5" s="31" t="n"/>
      <c r="AB5" s="31" t="n"/>
      <c r="AC5" s="31" t="n"/>
      <c r="AD5" s="31" t="n"/>
      <c r="AE5" s="31" t="n"/>
      <c r="AF5" s="31" t="n"/>
      <c r="AG5" s="31" t="n"/>
      <c r="AH5" s="31" t="n"/>
      <c r="AI5" s="31" t="n"/>
      <c r="AJ5" s="31" t="n"/>
      <c r="AK5" s="31" t="n"/>
      <c r="AL5" s="31" t="n"/>
      <c r="AM5" s="31" t="n"/>
      <c r="AN5" s="31" t="n"/>
      <c r="AO5" s="31" t="n"/>
      <c r="AP5" s="31" t="n"/>
      <c r="AQ5" s="31" t="n"/>
      <c r="AR5" s="31" t="n"/>
    </row>
    <row r="6" ht="77" customFormat="1" customHeight="1" s="31">
      <c r="A6" s="27" t="n">
        <v>33</v>
      </c>
      <c r="B6" s="27" t="inlineStr">
        <is>
          <t>马想为</t>
        </is>
      </c>
      <c r="C6" s="27" t="inlineStr">
        <is>
          <t>男</t>
        </is>
      </c>
      <c r="D6" s="28" t="inlineStr">
        <is>
          <t>工资：450 /天，签订劳务合同，需求时间：7/14~7/23（共8天，不含周末）
工资发放：第三天发 第一天—+第二天薪资，以此类推
其中7/21-7/23三天为buffer时间
（短期的，450一天）</t>
        </is>
      </c>
      <c r="E6" s="27" t="inlineStr">
        <is>
          <t>电子签签署完毕</t>
        </is>
      </c>
      <c r="F6" s="28" t="inlineStr">
        <is>
          <t>自动驾驶
测试开发工程师
(软件方向)</t>
        </is>
      </c>
      <c r="G6" s="29" t="n">
        <v>45852</v>
      </c>
      <c r="H6" s="27" t="n"/>
      <c r="I6" s="27" t="inlineStr">
        <is>
          <t>17795579275@163.com</t>
        </is>
      </c>
      <c r="J6" s="27" t="inlineStr">
        <is>
          <t>南京市雨花台区宁双路7号凤翔新城一期19幢211</t>
        </is>
      </c>
      <c r="K6" s="27" t="inlineStr">
        <is>
          <t>宁夏海原县贾塘乡南河村</t>
        </is>
      </c>
      <c r="L6" s="27" t="n">
        <v>17795579275</v>
      </c>
      <c r="M6" s="524" t="inlineStr">
        <is>
          <t>642222199608073015</t>
        </is>
      </c>
      <c r="N6" s="28" t="inlineStr">
        <is>
          <t>6214 8360 7364 0456</t>
        </is>
      </c>
      <c r="O6" s="28" t="inlineStr">
        <is>
          <t>招商银行股份有限公司泉州南安支行</t>
        </is>
      </c>
      <c r="P6" s="30" t="inlineStr">
        <is>
          <t>2025.7.16日已转7.14-7.15日费用900元
2025.7.18日已转7.16-7.17日费用900元
2025.7.22日已转7.18和7.21日费用900元（7.19-7.20日是周六周日）
2025.7.24日已转7.22和7.23日费用900元，至此费用结清</t>
        </is>
      </c>
      <c r="Q6" s="31" t="n"/>
      <c r="R6" s="31" t="n"/>
      <c r="S6" s="31" t="n"/>
      <c r="T6" s="31" t="n"/>
      <c r="U6" s="31" t="n"/>
      <c r="V6" s="31" t="n"/>
      <c r="W6" s="31" t="n"/>
      <c r="X6" s="31" t="n"/>
      <c r="Y6" s="31" t="n"/>
      <c r="Z6" s="31" t="n"/>
      <c r="AA6" s="31" t="n"/>
      <c r="AB6" s="31" t="n"/>
      <c r="AC6" s="31" t="n"/>
      <c r="AD6" s="31" t="n"/>
      <c r="AE6" s="31" t="n"/>
      <c r="AF6" s="31" t="n"/>
      <c r="AG6" s="31" t="n"/>
      <c r="AH6" s="31" t="n"/>
      <c r="AI6" s="31" t="n"/>
      <c r="AJ6" s="31" t="n"/>
      <c r="AK6" s="31" t="n"/>
      <c r="AL6" s="31" t="n"/>
      <c r="AM6" s="31" t="n"/>
      <c r="AN6" s="31" t="n"/>
      <c r="AO6" s="31" t="n"/>
      <c r="AP6" s="31" t="n"/>
      <c r="AQ6" s="31" t="n"/>
      <c r="AR6" s="31" t="n"/>
    </row>
    <row r="7" ht="77" customFormat="1" customHeight="1" s="31">
      <c r="A7" s="27" t="n">
        <v>34</v>
      </c>
      <c r="B7" s="27" t="inlineStr">
        <is>
          <t>刘洋</t>
        </is>
      </c>
      <c r="C7" s="27" t="inlineStr">
        <is>
          <t>男</t>
        </is>
      </c>
      <c r="D7" s="28" t="inlineStr">
        <is>
          <t>工资：450 /天，签订劳务合同，需求时间：7/14~7/23（共8天，不含周末）
工资发放：第三天发 第一天—+第二天薪资，以此类推
其中7/21-7/23三天为buffer时间
（短期的，450一天）</t>
        </is>
      </c>
      <c r="E7" s="27" t="inlineStr">
        <is>
          <t>电子签签署完毕</t>
        </is>
      </c>
      <c r="F7" s="28" t="inlineStr">
        <is>
          <t>自动驾驶
测试开发工程师
(软件方向)</t>
        </is>
      </c>
      <c r="G7" s="29" t="n">
        <v>45852</v>
      </c>
      <c r="H7" s="27" t="n"/>
      <c r="I7" s="27" t="inlineStr">
        <is>
          <t>932600275@qq.com</t>
        </is>
      </c>
      <c r="J7" s="27" t="inlineStr">
        <is>
          <t>江苏省南京市六合区龙池街道保利观棠和府</t>
        </is>
      </c>
      <c r="K7" s="27" t="inlineStr">
        <is>
          <t>安徽省六安市</t>
        </is>
      </c>
      <c r="L7" s="27" t="n">
        <v>18795468103</v>
      </c>
      <c r="M7" s="524" t="inlineStr">
        <is>
          <t>342401199611068178</t>
        </is>
      </c>
      <c r="N7" s="525" t="inlineStr">
        <is>
          <t>6236691370001630115</t>
        </is>
      </c>
      <c r="O7" s="27" t="inlineStr">
        <is>
          <t>中国建设银行</t>
        </is>
      </c>
      <c r="P7" s="30" t="inlineStr">
        <is>
          <t>2025.7.16日已转7.14-7.15日费用900元
2025.7.18日已转7.16-7.17日费用900元
2025.7.22日已转7.18和7.21日费用900元（7.19-7.20日是周六周日）
2025.7.24日已转7.22和7.23日费用900元，至此费用结清</t>
        </is>
      </c>
      <c r="Q7" s="31" t="n"/>
      <c r="R7" s="31" t="n"/>
      <c r="S7" s="31" t="n"/>
      <c r="T7" s="31" t="n"/>
      <c r="U7" s="31" t="n"/>
      <c r="V7" s="31" t="n"/>
      <c r="W7" s="31" t="n"/>
      <c r="X7" s="31" t="n"/>
      <c r="Y7" s="31" t="n"/>
      <c r="Z7" s="31" t="n"/>
      <c r="AA7" s="31" t="n"/>
      <c r="AB7" s="31" t="n"/>
      <c r="AC7" s="31" t="n"/>
      <c r="AD7" s="31" t="n"/>
      <c r="AE7" s="31" t="n"/>
      <c r="AF7" s="31" t="n"/>
      <c r="AG7" s="31" t="n"/>
      <c r="AH7" s="31" t="n"/>
      <c r="AI7" s="31" t="n"/>
      <c r="AJ7" s="31" t="n"/>
      <c r="AK7" s="31" t="n"/>
      <c r="AL7" s="31" t="n"/>
      <c r="AM7" s="31" t="n"/>
      <c r="AN7" s="31" t="n"/>
      <c r="AO7" s="31" t="n"/>
      <c r="AP7" s="31" t="n"/>
      <c r="AQ7" s="31" t="n"/>
      <c r="AR7" s="31" t="n"/>
    </row>
    <row r="8" customFormat="1" s="17">
      <c r="D8" s="32" t="n"/>
      <c r="P8" s="33" t="n"/>
    </row>
    <row r="11" ht="215" customHeight="1" s="558">
      <c r="A11" s="34" t="inlineStr">
        <is>
          <t xml:space="preserve">
</t>
        </is>
      </c>
      <c r="B11" s="34" t="n"/>
      <c r="C11" s="34" t="n"/>
      <c r="D11" s="35" t="inlineStr">
        <is>
          <t>第一批：需求5人：王朝阳、马想为、谭涛、孙越、代海波
       周期19天+加班4天=23天，需求时间：2025/8/20~2025/9/15（短期），工资：450 /天，签订劳务合同。--------------实际2025/8/20~2025/9/8（短期第一阶段结束）
      （暂定加班时间：8月23、8月24、8月30、9月7日，周末加班的话1:1调休或1:1折算薪资）
        工资发放：第三天发 第一天—+第二天薪资，以此类推~
第二批：需求10人：王朝阳、马想为、谭涛、孙越、代海波 ，，，，，，，，，，，，，，，（另外5人待定）
        周期6天，需求时间：2025/9/18~2025/9/30（短期），工资：450 /天，签订劳务合同。
        工资发放：第三天发 第一天—+第二天薪资，以此类推~</t>
        </is>
      </c>
      <c r="N11" s="34" t="n"/>
      <c r="O11" s="34" t="n"/>
      <c r="P11" s="34" t="n"/>
    </row>
    <row r="12" ht="87" customHeight="1" s="558">
      <c r="A12" s="36" t="inlineStr">
        <is>
          <t>批次
第二批</t>
        </is>
      </c>
      <c r="B12" s="37" t="inlineStr">
        <is>
          <t>序号</t>
        </is>
      </c>
      <c r="C12" s="37" t="inlineStr">
        <is>
          <t>姓名</t>
        </is>
      </c>
      <c r="D12" s="37" t="inlineStr">
        <is>
          <t>性别</t>
        </is>
      </c>
      <c r="E12" s="36" t="inlineStr">
        <is>
          <t>报价
（特指工资？试用期？
合同签署注意事项）</t>
        </is>
      </c>
      <c r="F12" s="36" t="inlineStr">
        <is>
          <t>备注
（特指入职材料
归档情况）</t>
        </is>
      </c>
      <c r="G12" s="37" t="inlineStr">
        <is>
          <t>岗位</t>
        </is>
      </c>
      <c r="H12" s="37" t="inlineStr">
        <is>
          <t>入职
时间</t>
        </is>
      </c>
      <c r="I12" s="37" t="inlineStr">
        <is>
          <t>邮箱</t>
        </is>
      </c>
      <c r="J12" s="36" t="inlineStr">
        <is>
          <t>联系
地址</t>
        </is>
      </c>
      <c r="K12" s="36" t="inlineStr">
        <is>
          <t>家庭住址
 户口</t>
        </is>
      </c>
      <c r="L12" s="37" t="inlineStr">
        <is>
          <t>联系
方式</t>
        </is>
      </c>
      <c r="M12" s="37" t="inlineStr">
        <is>
          <t>身份证
号码</t>
        </is>
      </c>
      <c r="N12" s="38" t="inlineStr">
        <is>
          <t>工资卡
卡号</t>
        </is>
      </c>
      <c r="O12" s="37" t="inlineStr">
        <is>
          <t>银行</t>
        </is>
      </c>
      <c r="P12" s="39" t="inlineStr">
        <is>
          <t>备注-本次按劳务报酬申报还是个税申报呢？汪总说个税！</t>
        </is>
      </c>
    </row>
    <row r="13" ht="93.59999999999999" customHeight="1" s="558">
      <c r="A13" s="40" t="inlineStr">
        <is>
          <t>第一批</t>
        </is>
      </c>
      <c r="B13" s="41" t="n">
        <v>1</v>
      </c>
      <c r="C13" s="41" t="inlineStr">
        <is>
          <t>王朝阳</t>
        </is>
      </c>
      <c r="D13" s="41" t="inlineStr">
        <is>
          <t>男</t>
        </is>
      </c>
      <c r="E13" s="44" t="inlineStr">
        <is>
          <t xml:space="preserve">工资：450 /天，签订劳务合同，
时间：8.20-9.15（周末加班的话1:1调休或1:1折算薪资）
工资发放：第三天发 第一天—+第二天薪资，以此类推~
</t>
        </is>
      </c>
      <c r="F13" s="640" t="inlineStr">
        <is>
          <t>全部签署完毕
电子签
完善版本的劳务合同</t>
        </is>
      </c>
      <c r="G13" s="44" t="inlineStr">
        <is>
          <t>自动驾驶测试开发工程师(软件方向)</t>
        </is>
      </c>
      <c r="H13" s="45" t="n">
        <v>45889</v>
      </c>
      <c r="I13" s="46" t="inlineStr">
        <is>
          <t>851566981@qq.com</t>
        </is>
      </c>
      <c r="J13" s="46" t="inlineStr">
        <is>
          <t>江苏省南京市玄武区仙居雅苑40幢201</t>
        </is>
      </c>
      <c r="K13" s="46" t="inlineStr">
        <is>
          <t>河南人平顶山市湛河区曹镇乡朱堂村92号</t>
        </is>
      </c>
      <c r="L13" s="47" t="n">
        <v>18137597121</v>
      </c>
      <c r="M13" s="526" t="inlineStr">
        <is>
          <t>410411199211245613</t>
        </is>
      </c>
      <c r="N13" s="527" t="inlineStr">
        <is>
          <t>6214832159354609</t>
        </is>
      </c>
      <c r="O13" s="44" t="inlineStr">
        <is>
          <t>招商银行股份有限公司上海创智天地支行</t>
        </is>
      </c>
      <c r="P13" s="48" t="inlineStr">
        <is>
          <t>2025.8.22日已转8.20-8.21日费用900元
2025.8.26日已转8.22/23/24/25日费用合计4天1800元
2025.8.29日已转8.26-8.27日费用900元
2025.9.1日已转8.28/29/30日费用1350元
2025.9.5日已转9.1/2/3日费用1350元
2025.9.8日需要转9.4/5/6日费用1350元-本次转：1312.5-已转</t>
        </is>
      </c>
    </row>
    <row r="14" ht="93.59999999999999" customHeight="1" s="558">
      <c r="B14" s="41" t="n">
        <v>2</v>
      </c>
      <c r="C14" s="41" t="inlineStr">
        <is>
          <t>马想为</t>
        </is>
      </c>
      <c r="D14" s="41" t="inlineStr">
        <is>
          <t>男</t>
        </is>
      </c>
      <c r="E14" s="641" t="n"/>
      <c r="F14" s="641" t="n"/>
      <c r="G14" s="44" t="inlineStr">
        <is>
          <t>自动驾驶测试开发工程师(软件方向)</t>
        </is>
      </c>
      <c r="H14" s="45" t="n">
        <v>45889</v>
      </c>
      <c r="I14" s="46" t="inlineStr">
        <is>
          <t>17795579275@163.com</t>
        </is>
      </c>
      <c r="J14" s="46" t="inlineStr">
        <is>
          <t>南京市雨花台区宁双路7号凤翔新城一期19幢211</t>
        </is>
      </c>
      <c r="K14" s="46" t="inlineStr">
        <is>
          <t>宁夏海原县贾塘乡南河村</t>
        </is>
      </c>
      <c r="L14" s="47" t="n">
        <v>17795579275</v>
      </c>
      <c r="M14" s="526" t="inlineStr">
        <is>
          <t>642222199608073015</t>
        </is>
      </c>
      <c r="N14" s="527" t="inlineStr">
        <is>
          <t>6214836073640456
最终是建行的-王霞6230944470001435669</t>
        </is>
      </c>
      <c r="O14" s="44" t="inlineStr">
        <is>
          <t>招商银行股份有限公司泉州南安支行
最终是建行的
-中国建设银行股份有限公司银川西城支行</t>
        </is>
      </c>
      <c r="P14" s="48" t="inlineStr">
        <is>
          <t>2025.8.22日已转8.20-8.21日费用900元
2025.8.26日已转8.22/23/24/25日费用合计4天1800元
2025.8.29日已转8.26-8.27日费用900元
2025.9.1日已转8.28/29/30日费用1350元
2025.9.5日需要转9.1/2/3日费用1350元
2025.9.8日需要转9.4/5/6日费用1350元-------1312.5元-已转</t>
        </is>
      </c>
    </row>
    <row r="15" ht="93.59999999999999" customHeight="1" s="558">
      <c r="B15" s="41" t="n">
        <v>3</v>
      </c>
      <c r="C15" s="51" t="inlineStr">
        <is>
          <t>谭涛</t>
        </is>
      </c>
      <c r="D15" s="41" t="inlineStr">
        <is>
          <t>男</t>
        </is>
      </c>
      <c r="E15" s="641" t="n"/>
      <c r="F15" s="641" t="n"/>
      <c r="G15" s="44" t="inlineStr">
        <is>
          <t>自动驾驶测试开发工程师(软件方向)</t>
        </is>
      </c>
      <c r="H15" s="45" t="n">
        <v>45889</v>
      </c>
      <c r="I15" s="52" t="inlineStr">
        <is>
          <t>1456284139@qq.com</t>
        </is>
      </c>
      <c r="J15" s="46" t="inlineStr">
        <is>
          <t>安徽省滁州市明光市明光街道梁郢小区高层</t>
        </is>
      </c>
      <c r="K15" s="46" t="inlineStr">
        <is>
          <t>安徽省明光市明东街道处抹山村占郢组</t>
        </is>
      </c>
      <c r="L15" s="47" t="n">
        <v>18365029625</v>
      </c>
      <c r="M15" s="526" t="inlineStr">
        <is>
          <t>341182199903163610</t>
        </is>
      </c>
      <c r="N15" s="527" t="inlineStr">
        <is>
          <t>6217906300023727087</t>
        </is>
      </c>
      <c r="O15" s="44" t="inlineStr">
        <is>
          <t>中国银行股份有限公司合肥新里程支行</t>
        </is>
      </c>
      <c r="P15" s="48" t="inlineStr">
        <is>
          <t>2025.8.22日已转8.20-8.21日费用900元
2025.8.26日已转8.22/23/24/25日费用合计4天1800元
2025.8.29日已转8.26-8.27日费用900元
2025.9.1日已转8.28/29/30日费用1350元
2025.9.5日需要转9.1/2/3日费用1350元
2025.9.8日需要转9.4/5/6日费用1350元--1270.5元-已转</t>
        </is>
      </c>
    </row>
    <row r="16" ht="93.59999999999999" customHeight="1" s="558">
      <c r="B16" s="41" t="n">
        <v>4</v>
      </c>
      <c r="C16" s="51" t="inlineStr">
        <is>
          <t>孙越</t>
        </is>
      </c>
      <c r="D16" s="41" t="inlineStr">
        <is>
          <t>男</t>
        </is>
      </c>
      <c r="E16" s="641" t="n"/>
      <c r="F16" s="641" t="n"/>
      <c r="G16" s="44" t="inlineStr">
        <is>
          <t>自动驾驶测试开发工程师(软件方向)</t>
        </is>
      </c>
      <c r="H16" s="45" t="n">
        <v>45889</v>
      </c>
      <c r="I16" s="46" t="inlineStr">
        <is>
          <t>2808637854@qq.com</t>
        </is>
      </c>
      <c r="J16" s="46" t="inlineStr">
        <is>
          <t>南京市秦淮区银龙花园二期 103 栋 502</t>
        </is>
      </c>
      <c r="K16" s="46" t="inlineStr">
        <is>
          <t>安徽省明光市泊岗乡安全村 3 组 120 号</t>
        </is>
      </c>
      <c r="L16" s="47" t="n">
        <v>15026475286</v>
      </c>
      <c r="M16" s="526" t="inlineStr">
        <is>
          <t>341182199510104812</t>
        </is>
      </c>
      <c r="N16" s="527" t="inlineStr">
        <is>
          <t>6217680511892080
-许洁建行6217001630020100746</t>
        </is>
      </c>
      <c r="O16" s="44" t="inlineStr">
        <is>
          <t>中信银行南京建邺支行
-中国建设银行股份有限公司巢湖财富广场支行</t>
        </is>
      </c>
      <c r="P16" s="48" t="inlineStr">
        <is>
          <t>2025.8.22日已转8.20-8.21日费用900元
2025.8.26日已转8.22/23/24/25日费用合计4天1800元
2025.8.29日已转8.26-8.27日费用900元
2025.9.1日已转8.28/29/30日费用1350元
2025.9.5日需要转9.1/2/3日费用1350元
2025.9.8日需要转9.4/5/6日费用1350元---1270.5元-已转</t>
        </is>
      </c>
    </row>
    <row r="17" ht="93.59999999999999" customHeight="1" s="558">
      <c r="B17" s="41" t="n">
        <v>5</v>
      </c>
      <c r="C17" s="51" t="inlineStr">
        <is>
          <t>代海波</t>
        </is>
      </c>
      <c r="D17" s="41" t="inlineStr">
        <is>
          <t>男</t>
        </is>
      </c>
      <c r="E17" s="642" t="n"/>
      <c r="F17" s="642" t="n"/>
      <c r="G17" s="44" t="inlineStr">
        <is>
          <t>自动驾驶测试开发工程师(软件方向)</t>
        </is>
      </c>
      <c r="H17" s="45" t="n">
        <v>45889</v>
      </c>
      <c r="I17" s="52" t="inlineStr">
        <is>
          <t>1253451363@qq.com</t>
        </is>
      </c>
      <c r="J17" s="46" t="inlineStr">
        <is>
          <t>南京市浦口区威尼斯水城七街区9栋202室</t>
        </is>
      </c>
      <c r="K17" s="46" t="inlineStr">
        <is>
          <t>安徽省泗县草沟镇王楼村代庄34号</t>
        </is>
      </c>
      <c r="L17" s="47" t="n">
        <v>17366233285</v>
      </c>
      <c r="M17" s="526" t="inlineStr">
        <is>
          <t>342225199505164916</t>
        </is>
      </c>
      <c r="N17" s="527" t="inlineStr">
        <is>
          <t>6217001370060859543</t>
        </is>
      </c>
      <c r="O17" s="44" t="inlineStr">
        <is>
          <t>中国建设银行南京秦淮支行</t>
        </is>
      </c>
      <c r="P17" s="48" t="inlineStr">
        <is>
          <t>2025.8.22日已转8.20-8.21日费用900元
2025.8.26日已转8.22/23/24/25日费用合计4天1800元
2025.8.29日已转8.26-8.27日费用900元
2025.9.1日已转8.28/29/30日费用1350元
2025.9.5日已转9.1/2/3日费用1350元
2025.9.8日需要转9.4/5/6日费用1350元---1270.5元-已转</t>
        </is>
      </c>
    </row>
    <row r="21" ht="17.4" customHeight="1" s="558">
      <c r="A21" s="55" t="inlineStr">
        <is>
          <t>第三批：需求10人：王朝阳、马想为、谭涛、孙越、代海波x
        周期6天，需求时间：2025/9/18~2025/9/30（短期），工资：450 /天，签订劳务合同。实际2025/9/18~2025/9/28（短期）最终实际9.18 19 22. 23 24 25 26 28
        工资发放：第三天发 第一天—+第二天薪资，以此类推~</t>
        </is>
      </c>
      <c r="M21" s="56" t="n"/>
      <c r="N21" s="56" t="n"/>
      <c r="O21" s="56" t="n"/>
    </row>
    <row r="22" ht="52.2" customHeight="1" s="558">
      <c r="A22" s="57" t="inlineStr">
        <is>
          <t>序号</t>
        </is>
      </c>
      <c r="B22" s="57" t="inlineStr">
        <is>
          <t>姓名</t>
        </is>
      </c>
      <c r="C22" s="57" t="inlineStr">
        <is>
          <t>性别</t>
        </is>
      </c>
      <c r="D22" s="58" t="inlineStr">
        <is>
          <t>报价
（特指工资？试用期？
合同签署注意事项）</t>
        </is>
      </c>
      <c r="E22" s="58" t="inlineStr">
        <is>
          <t>备注
（特指入职材料
归档情况）</t>
        </is>
      </c>
      <c r="F22" s="57" t="inlineStr">
        <is>
          <t>岗位</t>
        </is>
      </c>
      <c r="G22" s="57" t="inlineStr">
        <is>
          <t>入职
时间</t>
        </is>
      </c>
      <c r="H22" s="57" t="inlineStr">
        <is>
          <t>邮箱</t>
        </is>
      </c>
      <c r="I22" s="58" t="inlineStr">
        <is>
          <t>联系
地址</t>
        </is>
      </c>
      <c r="J22" s="58" t="inlineStr">
        <is>
          <t>家庭住址
 户口</t>
        </is>
      </c>
      <c r="K22" s="57" t="inlineStr">
        <is>
          <t>联系
方式</t>
        </is>
      </c>
      <c r="L22" s="57" t="inlineStr">
        <is>
          <t>身份证
号码</t>
        </is>
      </c>
      <c r="M22" s="59" t="inlineStr">
        <is>
          <t>工资卡
卡号</t>
        </is>
      </c>
      <c r="N22" s="57" t="inlineStr">
        <is>
          <t>银行</t>
        </is>
      </c>
      <c r="O22" s="60" t="inlineStr">
        <is>
          <t>备注-本次按劳务报酬申报还是个税申报呢？汪总说个税！</t>
        </is>
      </c>
    </row>
    <row r="23" ht="124.8" customHeight="1" s="558">
      <c r="A23" s="61" t="n">
        <v>1</v>
      </c>
      <c r="B23" s="61" t="inlineStr">
        <is>
          <t>王朝阳</t>
        </is>
      </c>
      <c r="C23" s="643" t="inlineStr">
        <is>
          <t>男</t>
        </is>
      </c>
      <c r="D23" s="63" t="inlineStr">
        <is>
          <t xml:space="preserve">工资：450 /天，签订劳务合同，
时间：9.18-9.30（周末加班的话1:1调休或1:1折算薪资）
工资发放：第三天发 第一天—+第二天薪资，以此类推~
</t>
        </is>
      </c>
      <c r="E23" s="63" t="n"/>
      <c r="F23" s="63" t="inlineStr">
        <is>
          <t>自动驾驶测试开发工程师(软件方向)</t>
        </is>
      </c>
      <c r="G23" s="644" t="inlineStr">
        <is>
          <t>2025/9月18日</t>
        </is>
      </c>
      <c r="H23" s="65" t="inlineStr">
        <is>
          <t>851566981@qq.com</t>
        </is>
      </c>
      <c r="I23" s="65" t="inlineStr">
        <is>
          <t>江苏省南京市玄武区仙居雅苑40幢201</t>
        </is>
      </c>
      <c r="J23" s="65" t="inlineStr">
        <is>
          <t>河南人平顶山市湛河区曹镇乡朱堂村92号</t>
        </is>
      </c>
      <c r="K23" s="66" t="n">
        <v>18137597121</v>
      </c>
      <c r="L23" s="528" t="inlineStr">
        <is>
          <t>410411199211245613</t>
        </is>
      </c>
      <c r="M23" s="529" t="inlineStr">
        <is>
          <t>6227002490150753113</t>
        </is>
      </c>
      <c r="N23" s="67" t="inlineStr">
        <is>
          <t>中国建设银行开封自贸区之行</t>
        </is>
      </c>
      <c r="O23" s="68" t="inlineStr">
        <is>
          <t>2025.9.22日已转9.18-9.19日费用900元
2025.9.24日已转9.22-9.23日费用900元
2025.9.27日已转9.24-9.25日费用900元
2025.9.30日已转9.26-9.28日费用900元-个税0，费用结清</t>
        </is>
      </c>
    </row>
    <row r="24" ht="124.8" customHeight="1" s="558">
      <c r="A24" s="61" t="n">
        <v>2</v>
      </c>
      <c r="B24" s="61" t="inlineStr">
        <is>
          <t>马想为</t>
        </is>
      </c>
      <c r="C24" s="645" t="n"/>
      <c r="G24" s="641" t="n"/>
      <c r="H24" s="65" t="inlineStr">
        <is>
          <t>17795579275@163.com</t>
        </is>
      </c>
      <c r="I24" s="65" t="inlineStr">
        <is>
          <t>南京市雨花台区宁双路7号凤翔新城一期19幢211</t>
        </is>
      </c>
      <c r="J24" s="65" t="inlineStr">
        <is>
          <t>宁夏海原县贾塘乡南河村</t>
        </is>
      </c>
      <c r="K24" s="66" t="n">
        <v>17795579275</v>
      </c>
      <c r="L24" s="528" t="inlineStr">
        <is>
          <t>642222199608073015</t>
        </is>
      </c>
      <c r="M24" s="529" t="inlineStr">
        <is>
          <t>6214836073640456
王霞6230944470001435669</t>
        </is>
      </c>
      <c r="N24" s="67" t="inlineStr">
        <is>
          <t>招商银行股份有限公司泉州南安支行
-中国建设银行股份有限公司银川西城支行</t>
        </is>
      </c>
      <c r="O24" s="68" t="inlineStr">
        <is>
          <t>2025.9.22日已转9.18-9.19日费用900元
2025.9.24日已转9.22-9.23日费用900元
2025.9.27日已转9.24-9.25日费用900元
2025.9.30日已转9.26-9.28日费用900元-个税0，费用结清</t>
        </is>
      </c>
    </row>
    <row r="25" ht="124.8" customHeight="1" s="558">
      <c r="A25" s="61" t="n">
        <v>3</v>
      </c>
      <c r="B25" s="61" t="inlineStr">
        <is>
          <t>谭涛</t>
        </is>
      </c>
      <c r="C25" s="645" t="n"/>
      <c r="G25" s="641" t="n"/>
      <c r="H25" s="65" t="inlineStr">
        <is>
          <t>1456284139@qq.com</t>
        </is>
      </c>
      <c r="I25" s="65" t="inlineStr">
        <is>
          <t>安徽省滁州市明光市明光街道梁郢小区高层</t>
        </is>
      </c>
      <c r="J25" s="65" t="inlineStr">
        <is>
          <t>安徽省明光市明东街道处抹山村占郢组</t>
        </is>
      </c>
      <c r="K25" s="66" t="n">
        <v>18365029625</v>
      </c>
      <c r="L25" s="528" t="inlineStr">
        <is>
          <t>341182199903163610</t>
        </is>
      </c>
      <c r="M25" s="529" t="inlineStr">
        <is>
          <t>6215340302643067629</t>
        </is>
      </c>
      <c r="N25" s="67" t="inlineStr">
        <is>
          <t>中国建设银行南京天元东路支行</t>
        </is>
      </c>
      <c r="O25" s="68" t="inlineStr">
        <is>
          <t>2025.9.22日已转9.18-9.19日费用900元
2025.9.24日已转9.22-9.23日费用900元
2025.9.27日已转9.24-9.25日费用900元
2025.9.30日已转9.26-9.28日费用900元-个税0，费用结清</t>
        </is>
      </c>
    </row>
    <row r="26" ht="124.8" customHeight="1" s="558">
      <c r="A26" s="61" t="n">
        <v>4</v>
      </c>
      <c r="B26" s="61" t="inlineStr">
        <is>
          <t>孙越</t>
        </is>
      </c>
      <c r="C26" s="645" t="n"/>
      <c r="G26" s="641" t="n"/>
      <c r="H26" s="65" t="inlineStr">
        <is>
          <t>2808637854@qq.com</t>
        </is>
      </c>
      <c r="I26" s="65" t="inlineStr">
        <is>
          <t>南京市秦淮区银龙花园二期 103 栋 502</t>
        </is>
      </c>
      <c r="J26" s="65" t="inlineStr">
        <is>
          <t>安徽省明光市泊岗乡安全村 3 组 120 号</t>
        </is>
      </c>
      <c r="K26" s="66" t="n">
        <v>15026475286</v>
      </c>
      <c r="L26" s="528" t="inlineStr">
        <is>
          <t>341182199510104812</t>
        </is>
      </c>
      <c r="M26" s="529" t="inlineStr">
        <is>
          <t>6217680511892080
-许洁6217001630020100746</t>
        </is>
      </c>
      <c r="N26" s="67" t="inlineStr">
        <is>
          <t>中信银行南京建邺支行
-中国建设银行股份有限公司巢湖财富广场支行</t>
        </is>
      </c>
      <c r="O26" s="68" t="inlineStr">
        <is>
          <t>2025.9.22日已转9.18-9.19日费用900元
2025.9.24日已转9.22-9.23日费用900元
2025.9.27日已转9.24-9.25日费用900元
2025.9.30日已转9.26-9.28日费用900元-个税0，费用结清</t>
        </is>
      </c>
    </row>
    <row r="27" ht="124.8" customHeight="1" s="558">
      <c r="A27" s="61" t="n">
        <v>5</v>
      </c>
      <c r="B27" s="61" t="inlineStr">
        <is>
          <t>代海波</t>
        </is>
      </c>
      <c r="C27" s="645" t="n"/>
      <c r="G27" s="641" t="n"/>
      <c r="H27" s="65" t="inlineStr">
        <is>
          <t>1253451363@qq.com</t>
        </is>
      </c>
      <c r="I27" s="65" t="inlineStr">
        <is>
          <t>南京市浦口区威尼斯水城七街区9栋202室</t>
        </is>
      </c>
      <c r="J27" s="65" t="inlineStr">
        <is>
          <t>安徽省泗县草沟镇王楼村代庄34号</t>
        </is>
      </c>
      <c r="K27" s="66" t="n">
        <v>17366233285</v>
      </c>
      <c r="L27" s="528" t="inlineStr">
        <is>
          <t>342225199505164916</t>
        </is>
      </c>
      <c r="M27" s="529" t="inlineStr">
        <is>
          <t>6217001370060859543</t>
        </is>
      </c>
      <c r="N27" s="67" t="inlineStr">
        <is>
          <t>中国建设银行南京秦淮支行</t>
        </is>
      </c>
      <c r="O27" s="68" t="inlineStr">
        <is>
          <t>2025.9.22日已转9.18-9.19日费用900元
2025.9.24日已转9.22-9.23日费用900元
2025.9.27日已转9.24-9.25日费用900元
2025.9.30日已转9.26-9.28日费用900元-个税0，费用结清</t>
        </is>
      </c>
    </row>
    <row r="28" ht="124.8" customHeight="1" s="558">
      <c r="A28" s="61" t="n">
        <v>6</v>
      </c>
      <c r="B28" s="61" t="inlineStr">
        <is>
          <t>王韬</t>
        </is>
      </c>
      <c r="C28" s="645" t="n"/>
      <c r="G28" s="641" t="n"/>
      <c r="H28" s="72" t="inlineStr">
        <is>
          <t>378409318@qq.com</t>
        </is>
      </c>
      <c r="I28" s="65" t="inlineStr">
        <is>
          <t>南京市江宁区潭桥公寓北苑26-503</t>
        </is>
      </c>
      <c r="J28" s="65" t="inlineStr">
        <is>
          <t>南京市江宁区潭桥公寓北苑26-503</t>
        </is>
      </c>
      <c r="K28" s="66" t="n">
        <v>13776568609</v>
      </c>
      <c r="L28" s="528" t="inlineStr">
        <is>
          <t>320121198709140712</t>
        </is>
      </c>
      <c r="M28" s="529" t="inlineStr">
        <is>
          <t>6217001370055578132</t>
        </is>
      </c>
      <c r="N28" s="67" t="inlineStr">
        <is>
          <t>中国建设银行南京天元东路支行</t>
        </is>
      </c>
      <c r="O28" s="68" t="inlineStr">
        <is>
          <t>2025.9.22日已转9.18-9.19日费用900元
2025.9.24日已转9.22-9.23日费用900元
2025.9.27日已转9.24-9.25日费用900元
2025.9.30日已转9.26-9.28日费用900元-个税0，费用结清</t>
        </is>
      </c>
    </row>
    <row r="29" ht="124.8" customHeight="1" s="558">
      <c r="A29" s="61" t="n">
        <v>7</v>
      </c>
      <c r="B29" s="61" t="inlineStr">
        <is>
          <t>康子恩</t>
        </is>
      </c>
      <c r="C29" s="645" t="n"/>
      <c r="G29" s="641" t="n"/>
      <c r="H29" s="72" t="inlineStr">
        <is>
          <t>619430773@qq.com</t>
        </is>
      </c>
      <c r="I29" s="65" t="inlineStr">
        <is>
          <t>江北新区新桥家园西区三单元16栋109</t>
        </is>
      </c>
      <c r="J29" s="65" t="inlineStr">
        <is>
          <t>南京市浦口区大桥546号</t>
        </is>
      </c>
      <c r="K29" s="66" t="n">
        <v>18913306711</v>
      </c>
      <c r="L29" s="528" t="inlineStr">
        <is>
          <t>320111200010133217</t>
        </is>
      </c>
      <c r="M29" s="529" t="inlineStr">
        <is>
          <t>6217001370044717007</t>
        </is>
      </c>
      <c r="N29" s="67" t="inlineStr">
        <is>
          <t>中国建设银行南京建宁路支行</t>
        </is>
      </c>
      <c r="O29" s="68" t="inlineStr">
        <is>
          <t>2025.9.22日已转9.18-9.19日费用900元
2025.9.24日已转9.22-9.23日费用900元
2025.9.27日已转9.24-9.25日费用900元
2025.9.30日已转9.26-9.28日费用900元-个税0，费用结清</t>
        </is>
      </c>
    </row>
    <row r="30" ht="124.8" customHeight="1" s="558">
      <c r="A30" s="61" t="n">
        <v>8</v>
      </c>
      <c r="B30" s="61" t="inlineStr">
        <is>
          <t>颜宏鑫</t>
        </is>
      </c>
      <c r="C30" s="645" t="n"/>
      <c r="G30" s="641" t="n"/>
      <c r="H30" s="72" t="inlineStr">
        <is>
          <t>630737357@qq.com</t>
        </is>
      </c>
      <c r="I30" s="65" t="inlineStr">
        <is>
          <t xml:space="preserve"> 江苏省南京市栖霞区瑞丽路凤和西园5幢</t>
        </is>
      </c>
      <c r="J30" s="65" t="inlineStr">
        <is>
          <t>江苏省南京市浦口区永宁镇高丽村小庄组21号</t>
        </is>
      </c>
      <c r="K30" s="66" t="n">
        <v>15850738610</v>
      </c>
      <c r="L30" s="528" t="inlineStr">
        <is>
          <t>320122199409030811</t>
        </is>
      </c>
      <c r="M30" s="529" t="inlineStr">
        <is>
          <t>6236691370002679111</t>
        </is>
      </c>
      <c r="N30" s="67" t="inlineStr">
        <is>
          <t>中国建设银行南京珍珠南路支行</t>
        </is>
      </c>
      <c r="O30" s="68" t="inlineStr">
        <is>
          <t>2025.9.22日已转9.18-9.19日费用900元
2025.9.24日已转9.22-9.23日费用900元
2025.9.27日已转9.24-9.25日费用675元
2025.9.30日已转9.26-9.28日费用900元-个税0，费用结清</t>
        </is>
      </c>
    </row>
    <row r="31" ht="124.8" customHeight="1" s="558">
      <c r="A31" s="61" t="n">
        <v>9</v>
      </c>
      <c r="B31" s="61" t="inlineStr">
        <is>
          <t>孙文</t>
        </is>
      </c>
      <c r="C31" s="645" t="n"/>
      <c r="G31" s="641" t="n"/>
      <c r="H31" s="72" t="inlineStr">
        <is>
          <t>jsnjsw@aliyun.com</t>
        </is>
      </c>
      <c r="I31" s="65" t="inlineStr">
        <is>
          <t>江苏省南京市栖霞区广志路19号10-1702</t>
        </is>
      </c>
      <c r="J31" s="65" t="inlineStr">
        <is>
          <t>江苏省南京市栖霞区广志路19号</t>
        </is>
      </c>
      <c r="K31" s="66" t="n">
        <v>15895882725</v>
      </c>
      <c r="L31" s="528" t="inlineStr">
        <is>
          <t xml:space="preserve"> 320305199304140015</t>
        </is>
      </c>
      <c r="M31" s="529" t="inlineStr">
        <is>
          <t>6217001370047584263</t>
        </is>
      </c>
      <c r="N31" s="67" t="inlineStr">
        <is>
          <t>中国建设银行股份有限公司南京北京西路支行</t>
        </is>
      </c>
      <c r="O31" s="68" t="inlineStr">
        <is>
          <t>2025.9.22日已转9.18-9.19日费用900元
2025.9.24日已转9.22-9.23日费用900元
2025.9.27日已转9.24-9.25日费用900元
2025.9.30日已转9.26-9.28日费用900元-个税0，费用结清</t>
        </is>
      </c>
    </row>
    <row r="32" ht="124.8" customHeight="1" s="558">
      <c r="A32" s="61" t="n">
        <v>10</v>
      </c>
      <c r="B32" s="61" t="inlineStr">
        <is>
          <t>管一彬</t>
        </is>
      </c>
      <c r="C32" s="646" t="n"/>
      <c r="G32" s="642" t="n"/>
      <c r="H32" s="72" t="inlineStr">
        <is>
          <t>1027599689@qq.com</t>
        </is>
      </c>
      <c r="I32" s="65" t="inlineStr">
        <is>
          <t xml:space="preserve"> 江苏省南京市玄武区红山街道北苑二村五栋四单元608室</t>
        </is>
      </c>
      <c r="J32" s="65" t="inlineStr">
        <is>
          <t xml:space="preserve"> 江苏省南京市江宁区麒麟街道建南社区东窦村800号</t>
        </is>
      </c>
      <c r="K32" s="66" t="n">
        <v>17625947185</v>
      </c>
      <c r="L32" s="528" t="inlineStr">
        <is>
          <t>321284199503037417</t>
        </is>
      </c>
      <c r="M32" s="529" t="inlineStr">
        <is>
          <t>6227001375064298639</t>
        </is>
      </c>
      <c r="N32" s="67" t="inlineStr">
        <is>
          <t>中国建设银行南京汉中路支行</t>
        </is>
      </c>
      <c r="O32" s="68" t="inlineStr">
        <is>
          <t>2025.9.22日已转9.18-9.19日费用900元
2025.9.24日已转9.22-9.23日费用900元
2025.9.27日已转9.24-9.25日费用900元
2025.9.30日已转9.26-9.28日费用900元-个税0，费用结清</t>
        </is>
      </c>
    </row>
    <row r="33">
      <c r="A33" s="75" t="n"/>
      <c r="B33" s="75" t="n"/>
      <c r="C33" s="75" t="n"/>
      <c r="D33" s="75" t="n"/>
      <c r="E33" s="75" t="n"/>
      <c r="F33" s="75" t="n"/>
      <c r="G33" s="75" t="n"/>
      <c r="H33" s="75" t="n"/>
      <c r="I33" s="75" t="n"/>
      <c r="J33" s="75" t="n"/>
      <c r="K33" s="75" t="n"/>
      <c r="L33" s="75" t="n"/>
      <c r="M33" s="75" t="n"/>
      <c r="N33" s="75" t="n"/>
      <c r="O33" s="75" t="n"/>
    </row>
    <row r="34">
      <c r="A34" s="75" t="n"/>
      <c r="B34" s="75" t="n"/>
      <c r="C34" s="75" t="n"/>
      <c r="D34" s="75" t="n"/>
      <c r="E34" s="75" t="n"/>
      <c r="F34" s="75" t="n"/>
      <c r="G34" s="75" t="n"/>
      <c r="H34" s="75" t="n"/>
      <c r="I34" s="75" t="n"/>
      <c r="J34" s="75" t="n"/>
      <c r="K34" s="75" t="n"/>
      <c r="L34" s="75" t="n"/>
      <c r="M34" s="75" t="n"/>
      <c r="N34" s="75" t="n"/>
      <c r="O34" s="75" t="n"/>
    </row>
    <row r="35">
      <c r="A35" s="75" t="inlineStr">
        <is>
          <t>解除劳务关系通知书</t>
        </is>
      </c>
      <c r="B35" s="75" t="n"/>
      <c r="C35" s="75" t="n"/>
      <c r="D35" s="75" t="n"/>
      <c r="E35" s="75" t="n"/>
      <c r="F35" s="75" t="n"/>
      <c r="G35" s="75" t="n"/>
      <c r="H35" s="75" t="n"/>
      <c r="I35" s="75" t="n"/>
      <c r="J35" s="75" t="n"/>
      <c r="K35" s="75" t="n"/>
      <c r="L35" s="75" t="n"/>
      <c r="M35" s="75" t="n"/>
      <c r="N35" s="75" t="n"/>
      <c r="O35" s="75" t="n"/>
    </row>
    <row r="36">
      <c r="A36" s="75" t="n"/>
      <c r="B36" s="75" t="n"/>
      <c r="C36" s="75" t="n"/>
      <c r="D36" s="75" t="n"/>
      <c r="E36" s="75" t="n"/>
      <c r="F36" s="75" t="n"/>
      <c r="G36" s="75" t="n"/>
      <c r="H36" s="75" t="n"/>
      <c r="I36" s="75" t="n"/>
      <c r="J36" s="75" t="n"/>
      <c r="K36" s="75" t="n"/>
      <c r="L36" s="75" t="n"/>
      <c r="M36" s="75" t="n"/>
      <c r="N36" s="75" t="n"/>
      <c r="O36" s="75" t="n"/>
    </row>
    <row r="37">
      <c r="A37" s="75" t="inlineStr">
        <is>
          <t>Dear:王朝阳</t>
        </is>
      </c>
      <c r="B37" s="75" t="n"/>
      <c r="C37" s="75" t="n"/>
      <c r="D37" s="75" t="n"/>
      <c r="E37" s="75" t="n"/>
      <c r="F37" s="75" t="n"/>
      <c r="G37" s="75" t="n"/>
      <c r="H37" s="75" t="n"/>
      <c r="I37" s="75" t="n"/>
      <c r="J37" s="75" t="n"/>
      <c r="K37" s="75" t="n"/>
      <c r="L37" s="75" t="n"/>
      <c r="M37" s="75" t="n"/>
      <c r="N37" s="75" t="n"/>
      <c r="O37" s="75" t="n"/>
    </row>
    <row r="38">
      <c r="A38" s="75" t="inlineStr">
        <is>
          <t>您于2025年9月18日与我司签订《劳务协议》（以下简称为“协议”），为公司提供软件测试服务。</t>
        </is>
      </c>
      <c r="B38" s="75" t="n"/>
      <c r="C38" s="75" t="n"/>
      <c r="D38" s="75" t="n"/>
      <c r="E38" s="75" t="n"/>
      <c r="F38" s="75" t="n"/>
      <c r="G38" s="75" t="n"/>
      <c r="H38" s="75" t="n"/>
      <c r="I38" s="75" t="n"/>
      <c r="J38" s="75" t="n"/>
      <c r="K38" s="75" t="n"/>
      <c r="L38" s="75" t="n"/>
      <c r="M38" s="75" t="n"/>
      <c r="N38" s="75" t="n"/>
      <c r="O38" s="75" t="n"/>
    </row>
    <row r="39">
      <c r="A39" s="75" t="inlineStr">
        <is>
          <t>现通知您，协议将于2025年9月28日解除，双方权利义务自解除之日消灭，协议解除后，您无需再到我司地址提供任何劳务服务等,后续客户侧以及公司侧离场流程，HR会和您对接，注意信息安全哦。</t>
        </is>
      </c>
      <c r="B39" s="75" t="n"/>
      <c r="C39" s="75" t="n"/>
      <c r="D39" s="75" t="n"/>
      <c r="E39" s="75" t="n"/>
      <c r="F39" s="75" t="n"/>
      <c r="G39" s="75" t="n"/>
      <c r="H39" s="75" t="n"/>
      <c r="I39" s="75" t="n"/>
      <c r="J39" s="75" t="n"/>
      <c r="K39" s="75" t="n"/>
      <c r="L39" s="75" t="n"/>
      <c r="M39" s="75" t="n"/>
      <c r="N39" s="75" t="n"/>
      <c r="O39" s="75" t="n"/>
    </row>
    <row r="40">
      <c r="A40" s="75" t="n"/>
      <c r="B40" s="75" t="n"/>
      <c r="C40" s="75" t="n"/>
      <c r="D40" s="75" t="n"/>
      <c r="E40" s="75" t="n"/>
      <c r="F40" s="75" t="n"/>
      <c r="G40" s="75" t="n"/>
      <c r="H40" s="75" t="n"/>
      <c r="I40" s="75" t="n"/>
      <c r="J40" s="75" t="n"/>
      <c r="K40" s="75" t="n"/>
      <c r="L40" s="75" t="n"/>
      <c r="M40" s="75" t="n"/>
      <c r="N40" s="75" t="n"/>
      <c r="O40" s="75" t="n"/>
    </row>
    <row r="41">
      <c r="A41" s="75" t="inlineStr">
        <is>
          <t>感谢每一段同行时光，感谢你的努力拼搏，也期待下次的深度合作~</t>
        </is>
      </c>
      <c r="B41" s="75" t="n"/>
      <c r="C41" s="75" t="n"/>
      <c r="D41" s="75" t="n"/>
      <c r="E41" s="75" t="n"/>
      <c r="F41" s="75" t="n"/>
      <c r="G41" s="75" t="n"/>
      <c r="H41" s="75" t="n"/>
      <c r="I41" s="75" t="n"/>
      <c r="J41" s="75" t="n"/>
      <c r="K41" s="75" t="n"/>
      <c r="L41" s="75" t="n"/>
      <c r="M41" s="75" t="n"/>
      <c r="N41" s="75" t="n"/>
      <c r="O41" s="75" t="n"/>
    </row>
    <row r="42">
      <c r="A42" s="75" t="n"/>
      <c r="B42" s="75" t="n"/>
      <c r="C42" s="75" t="n"/>
      <c r="D42" s="75" t="n"/>
      <c r="E42" s="75" t="n"/>
      <c r="F42" s="75" t="n"/>
      <c r="G42" s="75" t="n"/>
      <c r="H42" s="75" t="n"/>
      <c r="I42" s="75" t="n"/>
      <c r="J42" s="75" t="n"/>
      <c r="K42" s="75" t="n"/>
      <c r="L42" s="75" t="n"/>
      <c r="M42" s="75" t="n"/>
      <c r="N42" s="75" t="n"/>
      <c r="O42" s="75" t="n"/>
    </row>
    <row r="43">
      <c r="A43" s="75" t="inlineStr">
        <is>
          <t>南京文石信息科技有限公司</t>
        </is>
      </c>
      <c r="B43" s="75" t="n"/>
      <c r="C43" s="75" t="n"/>
      <c r="D43" s="75" t="n"/>
      <c r="E43" s="75" t="n"/>
      <c r="F43" s="75" t="n"/>
      <c r="G43" s="75" t="n"/>
      <c r="H43" s="75" t="n"/>
      <c r="I43" s="75" t="n"/>
      <c r="J43" s="75" t="n"/>
      <c r="K43" s="75" t="n"/>
      <c r="L43" s="75" t="n"/>
      <c r="M43" s="75" t="n"/>
      <c r="N43" s="75" t="n"/>
      <c r="O43" s="75" t="n"/>
    </row>
    <row r="44">
      <c r="A44" s="76" t="n">
        <v>45925</v>
      </c>
      <c r="B44" s="75" t="n"/>
      <c r="C44" s="75" t="n"/>
      <c r="D44" s="75" t="n"/>
      <c r="E44" s="75" t="n"/>
      <c r="F44" s="75" t="n"/>
      <c r="G44" s="75" t="n"/>
      <c r="H44" s="75" t="n"/>
      <c r="I44" s="75" t="n"/>
      <c r="J44" s="75" t="n"/>
      <c r="K44" s="75" t="n"/>
      <c r="L44" s="75" t="n"/>
      <c r="M44" s="75" t="n"/>
      <c r="N44" s="75" t="n"/>
      <c r="O44" s="75" t="n"/>
    </row>
    <row r="45">
      <c r="A45" s="75" t="n"/>
      <c r="B45" s="75" t="n"/>
      <c r="C45" s="75" t="n"/>
      <c r="D45" s="75" t="n"/>
      <c r="E45" s="75" t="n"/>
      <c r="F45" s="75" t="n"/>
      <c r="G45" s="75" t="n"/>
      <c r="H45" s="75" t="n"/>
      <c r="I45" s="75" t="n"/>
      <c r="J45" s="75" t="n"/>
      <c r="K45" s="75" t="n"/>
      <c r="L45" s="75" t="n"/>
      <c r="M45" s="75" t="n"/>
      <c r="N45" s="75" t="n"/>
      <c r="O45" s="75" t="n"/>
    </row>
    <row r="46">
      <c r="A46" s="75" t="n"/>
      <c r="B46" s="75" t="n"/>
      <c r="C46" s="75" t="n"/>
      <c r="D46" s="75" t="n"/>
      <c r="E46" s="75" t="n"/>
      <c r="F46" s="75" t="n"/>
      <c r="G46" s="75" t="n"/>
      <c r="H46" s="75" t="n"/>
      <c r="I46" s="75" t="n"/>
      <c r="J46" s="75" t="n"/>
      <c r="K46" s="75" t="n"/>
      <c r="L46" s="75" t="n"/>
      <c r="M46" s="75" t="n"/>
      <c r="N46" s="75" t="n"/>
      <c r="O46" s="75" t="n"/>
    </row>
    <row r="47">
      <c r="A47" s="75" t="n"/>
      <c r="B47" s="75" t="n"/>
      <c r="C47" s="75" t="n"/>
      <c r="D47" s="75" t="n"/>
      <c r="E47" s="75" t="n"/>
      <c r="F47" s="75" t="n"/>
      <c r="G47" s="75" t="n"/>
      <c r="H47" s="75" t="n"/>
      <c r="I47" s="75" t="n"/>
      <c r="J47" s="75" t="n"/>
      <c r="K47" s="75" t="n"/>
      <c r="L47" s="75" t="n"/>
      <c r="M47" s="75" t="n"/>
      <c r="N47" s="75" t="n"/>
      <c r="O47" s="75" t="n"/>
    </row>
    <row r="48">
      <c r="A48" s="75" t="n"/>
      <c r="B48" s="75" t="n"/>
      <c r="C48" s="75" t="n"/>
      <c r="D48" s="75" t="n"/>
      <c r="E48" s="75" t="n"/>
      <c r="F48" s="75" t="n"/>
      <c r="G48" s="75" t="n"/>
      <c r="H48" s="75" t="n"/>
      <c r="I48" s="75" t="n"/>
      <c r="J48" s="75" t="n"/>
      <c r="K48" s="75" t="n"/>
      <c r="L48" s="75" t="n"/>
      <c r="M48" s="75" t="n"/>
      <c r="N48" s="75" t="n"/>
      <c r="O48" s="75" t="n"/>
    </row>
  </sheetData>
  <mergeCells count="11">
    <mergeCell ref="A21:L21"/>
    <mergeCell ref="E13:E17"/>
    <mergeCell ref="F23:F32"/>
    <mergeCell ref="A13:A17"/>
    <mergeCell ref="D11:M11"/>
    <mergeCell ref="D23:D32"/>
    <mergeCell ref="F13:F17"/>
    <mergeCell ref="E23:E32"/>
    <mergeCell ref="C23:C32"/>
    <mergeCell ref="G23:G32"/>
    <mergeCell ref="A1:N1"/>
  </mergeCells>
  <hyperlinks>
    <hyperlink xmlns:r="http://schemas.openxmlformats.org/officeDocument/2006/relationships" ref="I15" display="1456284139@qq.com" r:id="rId1"/>
    <hyperlink xmlns:r="http://schemas.openxmlformats.org/officeDocument/2006/relationships" ref="I17" display="1253451363@qq.com" r:id="rId2"/>
    <hyperlink xmlns:r="http://schemas.openxmlformats.org/officeDocument/2006/relationships" ref="H25" display="1456284139@qq.com" r:id="rId3"/>
    <hyperlink xmlns:r="http://schemas.openxmlformats.org/officeDocument/2006/relationships" ref="H27" display="1253451363@qq.com" r:id="rId4"/>
    <hyperlink xmlns:r="http://schemas.openxmlformats.org/officeDocument/2006/relationships" ref="H28" display="378409318@qq.com" r:id="rId5"/>
    <hyperlink xmlns:r="http://schemas.openxmlformats.org/officeDocument/2006/relationships" ref="H29" display="619430773@qq.com" r:id="rId6"/>
    <hyperlink xmlns:r="http://schemas.openxmlformats.org/officeDocument/2006/relationships" ref="H30" display="630737357@qq.com" r:id="rId7"/>
    <hyperlink xmlns:r="http://schemas.openxmlformats.org/officeDocument/2006/relationships" ref="H31" display="jsnjsw@aliyun.com" r:id="rId8"/>
    <hyperlink xmlns:r="http://schemas.openxmlformats.org/officeDocument/2006/relationships" ref="H32" display="1027599689@qq.com" r:id="rId9"/>
  </hyperlinks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M7"/>
  <sheetViews>
    <sheetView zoomScale="90" zoomScaleNormal="90" workbookViewId="0">
      <selection activeCell="H2" sqref="H2"/>
    </sheetView>
  </sheetViews>
  <sheetFormatPr baseColWidth="8" defaultColWidth="8.888888888888889" defaultRowHeight="14.4" outlineLevelRow="6"/>
  <cols>
    <col width="4.55555555555556" customWidth="1" style="558" min="1" max="1"/>
    <col width="10.2222222222222" customWidth="1" style="558" min="3" max="3"/>
    <col width="18.4444444444444" customWidth="1" style="558" min="4" max="4"/>
    <col width="25.5555555555556" customWidth="1" style="558" min="5" max="5"/>
    <col width="27.2222222222222" customWidth="1" style="558" min="6" max="6"/>
    <col width="17.2222222222222" customWidth="1" style="558" min="7" max="7"/>
    <col width="13.4537037037037" customWidth="1" style="558" min="8" max="8"/>
    <col width="20" customWidth="1" style="558" min="9" max="9"/>
    <col width="53.2222222222222" customWidth="1" style="558" min="10" max="10"/>
    <col width="46.2222222222222" customWidth="1" style="558" min="11" max="11"/>
  </cols>
  <sheetData>
    <row r="1" ht="85" customFormat="1" customHeight="1" s="1">
      <c r="A1" s="3" t="inlineStr">
        <is>
          <t>短期的订劳务合同，软件测试，需要5个人，需求时间：2026/6/24~2026/6/30（共5天，不含周末）
（员工费用是450一天，报价850元一天）
这个放进2026.6月工资条中作为成本，2025.7.1日南京文石已经发放完毕，需要放在2026年6月的地平线账单中</t>
        </is>
      </c>
    </row>
    <row r="2" ht="71" customFormat="1" customHeight="1" s="2">
      <c r="A2" s="5" t="inlineStr">
        <is>
          <t>序号</t>
        </is>
      </c>
      <c r="B2" s="2" t="inlineStr">
        <is>
          <t>姓名</t>
        </is>
      </c>
      <c r="C2" s="5" t="inlineStr">
        <is>
          <t>入职
时间</t>
        </is>
      </c>
      <c r="D2" s="2" t="inlineStr">
        <is>
          <t>邮箱</t>
        </is>
      </c>
      <c r="E2" s="5" t="inlineStr">
        <is>
          <t>联系
地址</t>
        </is>
      </c>
      <c r="F2" s="5" t="inlineStr">
        <is>
          <t>家庭住址
 户口</t>
        </is>
      </c>
      <c r="G2" s="2" t="inlineStr">
        <is>
          <t>联系
方式</t>
        </is>
      </c>
      <c r="H2" s="6" t="inlineStr">
        <is>
          <t>本次发放费用
-已发</t>
        </is>
      </c>
      <c r="I2" s="2" t="inlineStr">
        <is>
          <t>身份证
号码</t>
        </is>
      </c>
      <c r="J2" s="7" t="inlineStr">
        <is>
          <t>工资卡
卡号</t>
        </is>
      </c>
      <c r="K2" s="2" t="inlineStr">
        <is>
          <t>银行</t>
        </is>
      </c>
      <c r="L2" s="8" t="n"/>
      <c r="M2" s="10" t="n"/>
      <c r="N2" s="10" t="n"/>
      <c r="O2" s="10" t="n"/>
      <c r="P2" s="10" t="n"/>
      <c r="Q2" s="10" t="n"/>
      <c r="R2" s="10" t="n"/>
      <c r="S2" s="10" t="n"/>
      <c r="T2" s="10" t="n"/>
      <c r="U2" s="10" t="n"/>
      <c r="V2" s="10" t="n"/>
      <c r="W2" s="10" t="n"/>
      <c r="X2" s="10" t="n"/>
      <c r="Y2" s="10" t="n"/>
      <c r="Z2" s="10" t="n"/>
      <c r="AA2" s="10" t="n"/>
      <c r="AB2" s="10" t="n"/>
      <c r="AC2" s="10" t="n"/>
      <c r="AD2" s="10" t="n"/>
      <c r="AE2" s="10" t="n"/>
      <c r="AF2" s="10" t="n"/>
      <c r="AG2" s="10" t="n"/>
      <c r="AH2" s="10" t="n"/>
      <c r="AI2" s="10" t="n"/>
      <c r="AJ2" s="10" t="n"/>
      <c r="AK2" s="10" t="n"/>
      <c r="AL2" s="10" t="n"/>
      <c r="AM2" s="10" t="n"/>
      <c r="AN2" s="10" t="n"/>
      <c r="AO2" s="10" t="n"/>
      <c r="AP2" s="10" t="n"/>
      <c r="AQ2" s="10" t="n"/>
      <c r="AR2" s="10" t="n"/>
      <c r="AS2" s="10" t="n"/>
      <c r="AT2" s="10" t="n"/>
      <c r="AU2" s="10" t="n"/>
      <c r="AV2" s="10" t="n"/>
      <c r="AW2" s="10" t="n"/>
      <c r="AX2" s="10" t="n"/>
      <c r="AY2" s="10" t="n"/>
      <c r="AZ2" s="10" t="n"/>
      <c r="BA2" s="10" t="n"/>
      <c r="BB2" s="10" t="n"/>
      <c r="BC2" s="10" t="n"/>
      <c r="BD2" s="10" t="n"/>
      <c r="BE2" s="10" t="n"/>
      <c r="BF2" s="10" t="n"/>
      <c r="BG2" s="10" t="n"/>
      <c r="BH2" s="10" t="n"/>
      <c r="BI2" s="10" t="n"/>
      <c r="BJ2" s="10" t="n"/>
      <c r="BK2" s="10" t="n"/>
      <c r="BL2" s="10" t="n"/>
      <c r="BM2" s="10" t="n"/>
      <c r="BN2" s="10" t="n"/>
      <c r="BO2" s="10" t="n"/>
      <c r="BP2" s="10" t="n"/>
      <c r="BQ2" s="10" t="n"/>
      <c r="BR2" s="10" t="n"/>
      <c r="BS2" s="10" t="n"/>
      <c r="BT2" s="10" t="n"/>
      <c r="BU2" s="10" t="n"/>
      <c r="BV2" s="10" t="n"/>
      <c r="BW2" s="10" t="n"/>
      <c r="BX2" s="10" t="n"/>
      <c r="BY2" s="10" t="n"/>
      <c r="BZ2" s="10" t="n"/>
      <c r="CA2" s="10" t="n"/>
      <c r="CB2" s="10" t="n"/>
      <c r="CC2" s="10" t="n"/>
      <c r="CD2" s="10" t="n"/>
      <c r="CE2" s="10" t="n"/>
      <c r="CF2" s="10" t="n"/>
      <c r="CG2" s="10" t="n"/>
      <c r="CH2" s="10" t="n"/>
      <c r="CI2" s="10" t="n"/>
      <c r="CJ2" s="10" t="n"/>
      <c r="CK2" s="10" t="n"/>
      <c r="CL2" s="10" t="n"/>
      <c r="CM2" s="10" t="n"/>
    </row>
    <row r="3" ht="40" customHeight="1" s="558">
      <c r="A3" s="17" t="n">
        <v>1</v>
      </c>
      <c r="B3" s="17" t="inlineStr">
        <is>
          <t>许海鹏</t>
        </is>
      </c>
      <c r="C3" s="11" t="n">
        <v>46197</v>
      </c>
      <c r="D3" s="17" t="inlineStr">
        <is>
          <t>2247197763@qq.com</t>
        </is>
      </c>
      <c r="E3" s="12" t="inlineStr">
        <is>
          <t>江苏省南京市建邺区兆园东小区5-11-602</t>
        </is>
      </c>
      <c r="F3" s="12" t="inlineStr">
        <is>
          <t>山西省晋城市陵川县</t>
        </is>
      </c>
      <c r="G3" s="12" t="n">
        <v>17512506409</v>
      </c>
      <c r="H3" s="13">
        <f>450*5</f>
        <v/>
      </c>
      <c r="I3" s="530" t="inlineStr">
        <is>
          <t>140524200004097416</t>
        </is>
      </c>
      <c r="J3" s="531" t="inlineStr">
        <is>
          <t>6236680250000282931</t>
        </is>
      </c>
      <c r="K3" s="14" t="inlineStr">
        <is>
          <t>许海鹏建设银行卡号：
开户行：中国建设银行股份有限公司太原河西支行</t>
        </is>
      </c>
    </row>
    <row r="4" ht="40" customHeight="1" s="558">
      <c r="A4" s="17" t="n">
        <v>2</v>
      </c>
      <c r="B4" s="17" t="inlineStr">
        <is>
          <t>田洪洋</t>
        </is>
      </c>
      <c r="C4" s="11" t="n">
        <v>46197</v>
      </c>
      <c r="D4" s="17" t="inlineStr">
        <is>
          <t>1981694007@qq.com</t>
        </is>
      </c>
      <c r="E4" s="12" t="inlineStr">
        <is>
          <t>江苏省南京市雨花台区凤翔花园4期1-1-302</t>
        </is>
      </c>
      <c r="F4" s="12" t="inlineStr">
        <is>
          <t>贵州省凯里市西门街37号</t>
        </is>
      </c>
      <c r="G4" s="12" t="n">
        <v>15885825250</v>
      </c>
      <c r="H4" s="13">
        <f>450*5</f>
        <v/>
      </c>
      <c r="I4" s="530" t="inlineStr">
        <is>
          <t>522601200112200533</t>
        </is>
      </c>
      <c r="J4" s="14" t="inlineStr">
        <is>
          <t>;6217001310012561169</t>
        </is>
      </c>
      <c r="K4" s="14" t="inlineStr">
        <is>
          <t>中国建设银行靖江新港工业园区支行</t>
        </is>
      </c>
    </row>
    <row r="5" ht="40" customHeight="1" s="558">
      <c r="A5" s="17" t="n">
        <v>3</v>
      </c>
      <c r="B5" s="17" t="inlineStr">
        <is>
          <t>代海波</t>
        </is>
      </c>
      <c r="C5" s="11" t="n">
        <v>46197</v>
      </c>
      <c r="D5" s="17" t="inlineStr">
        <is>
          <t>1253451363@qq.com</t>
        </is>
      </c>
      <c r="E5" s="12" t="inlineStr">
        <is>
          <t>南京市浦口区北外滩水城七街区9栋202室</t>
        </is>
      </c>
      <c r="F5" s="12" t="inlineStr">
        <is>
          <t>安徽省宿州市泗县草沟镇王楼村代庄034号</t>
        </is>
      </c>
      <c r="G5" s="12" t="n">
        <v>17366233285</v>
      </c>
      <c r="H5" s="13">
        <f>450*5</f>
        <v/>
      </c>
      <c r="I5" s="530" t="inlineStr">
        <is>
          <t>342225199505164916</t>
        </is>
      </c>
      <c r="J5" s="14" t="inlineStr">
        <is>
          <t>代海波
建设银行卡号：6217001370060859543
开户行：中国建设银行股份有限公司南京秦淮支行</t>
        </is>
      </c>
      <c r="K5" s="14" t="inlineStr">
        <is>
          <t>中国建设银行南京秦淮支行</t>
        </is>
      </c>
    </row>
    <row r="6" ht="40" customHeight="1" s="558">
      <c r="A6" s="17" t="n">
        <v>4</v>
      </c>
      <c r="B6" s="17" t="inlineStr">
        <is>
          <t>孙文</t>
        </is>
      </c>
      <c r="C6" s="11" t="n">
        <v>46197</v>
      </c>
      <c r="D6" s="17" t="inlineStr">
        <is>
          <t>jsnjsw@aliyun.com</t>
        </is>
      </c>
      <c r="E6" s="12" t="inlineStr">
        <is>
          <t>江苏省南京市栖霞区广志路19号10-1702</t>
        </is>
      </c>
      <c r="F6" s="12" t="inlineStr">
        <is>
          <t>江苏省南京市栖霞区广志路19号</t>
        </is>
      </c>
      <c r="G6" s="12" t="n">
        <v>15895882725</v>
      </c>
      <c r="H6" s="13">
        <f>450*5</f>
        <v/>
      </c>
      <c r="I6" s="530" t="inlineStr">
        <is>
          <t>320305199304140015</t>
        </is>
      </c>
      <c r="J6" s="14" t="inlineStr">
        <is>
          <t>孙文
建设银行卡号：6217001370047584263
中国建设银行股份有限公司南京北京西路支行</t>
        </is>
      </c>
      <c r="K6" s="14">
        <f>_xlfn.DISPIMG("ID_F9403B9EBBD54BC3BCE509BB7F6717B5",1)</f>
        <v/>
      </c>
    </row>
    <row r="7" ht="40" customHeight="1" s="558">
      <c r="A7" s="17" t="n">
        <v>5</v>
      </c>
      <c r="B7" s="17" t="inlineStr">
        <is>
          <t>管一彬</t>
        </is>
      </c>
      <c r="C7" s="11" t="n">
        <v>46197</v>
      </c>
      <c r="D7" s="17" t="inlineStr">
        <is>
          <t>1027599689@qq.com</t>
        </is>
      </c>
      <c r="E7" s="12" t="inlineStr">
        <is>
          <t xml:space="preserve"> 江苏省南京市玄武区红山街道北苑二村五栋四单元608室</t>
        </is>
      </c>
      <c r="F7" s="12" t="inlineStr">
        <is>
          <t>江苏省南京市江宁区麒麟街道建南社区东窦村800号</t>
        </is>
      </c>
      <c r="G7" s="12" t="n">
        <v>17625947185</v>
      </c>
      <c r="H7" s="13">
        <f>450*5</f>
        <v/>
      </c>
      <c r="I7" s="530" t="inlineStr">
        <is>
          <t xml:space="preserve"> 321284199503037417</t>
        </is>
      </c>
      <c r="J7" s="14" t="inlineStr">
        <is>
          <t xml:space="preserve">管一彬
建设银行卡号：6227001375064298639 </t>
        </is>
      </c>
      <c r="K7" s="14">
        <f>_xlfn.DISPIMG("ID_4145E8F0971341EDB6EE0C6BF4D77751",1)</f>
        <v/>
      </c>
    </row>
  </sheetData>
  <mergeCells count="1">
    <mergeCell ref="A1:J1"/>
  </mergeCells>
  <hyperlinks>
    <hyperlink xmlns:r="http://schemas.openxmlformats.org/officeDocument/2006/relationships" ref="D5" display="1253451363@qq.com" r:id="rId1"/>
    <hyperlink xmlns:r="http://schemas.openxmlformats.org/officeDocument/2006/relationships" ref="D7" display="1027599689@qq.com" r:id="rId2"/>
  </hyperlink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luo'bao'bao</dc:creator>
  <dcterms:created xmlns:dcterms="http://purl.org/dc/terms/" xmlns:xsi="http://www.w3.org/2001/XMLSchema-instance" xsi:type="dcterms:W3CDTF">2024-01-21T15:10:00Z</dcterms:created>
  <dcterms:modified xmlns:dcterms="http://purl.org/dc/terms/" xmlns:xsi="http://www.w3.org/2001/XMLSchema-instance" xsi:type="dcterms:W3CDTF">2026-07-03T14:24:23Z</dcterms:modified>
  <cp:lastModifiedBy>小帅哥</cp:lastModifiedBy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3C3CD1F98A0C470AA147C1B8F14D963A_13</vt:lpwstr>
  </property>
  <property name="KSOProductBuildVer" fmtid="{D5CDD505-2E9C-101B-9397-08002B2CF9AE}" pid="3">
    <vt:lpwstr xmlns:vt="http://schemas.openxmlformats.org/officeDocument/2006/docPropsVTypes">2052-12.1.0.26375</vt:lpwstr>
  </property>
  <property name="KSOReadingLayout" fmtid="{D5CDD505-2E9C-101B-9397-08002B2CF9AE}" pid="4">
    <vt:bool xmlns:vt="http://schemas.openxmlformats.org/officeDocument/2006/docPropsVTypes">1</vt:bool>
  </property>
  <property name="CalculationRule" fmtid="{D5CDD505-2E9C-101B-9397-08002B2CF9AE}" pid="5">
    <vt:i4 xmlns:vt="http://schemas.openxmlformats.org/officeDocument/2006/docPropsVTypes">0</vt:i4>
  </property>
</Properties>
</file>